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codeName="ThisWorkbook"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/Users/apple/Documents/2022-Pedriatic/2566-ป.เด็ก 1/"/>
    </mc:Choice>
  </mc:AlternateContent>
  <xr:revisionPtr revIDLastSave="0" documentId="13_ncr:1_{452D89FF-F765-3643-9D67-C720AB476D4D}" xr6:coauthVersionLast="47" xr6:coauthVersionMax="47" xr10:uidLastSave="{00000000-0000-0000-0000-000000000000}"/>
  <bookViews>
    <workbookView xWindow="600" yWindow="1540" windowWidth="25860" windowHeight="14060" tabRatio="840" activeTab="10" xr2:uid="{00000000-000D-0000-FFFF-FFFF00000000}"/>
  </bookViews>
  <sheets>
    <sheet name="gr.A1(อ.ภัททิรา)" sheetId="32" state="hidden" r:id="rId1"/>
    <sheet name="gr.A2 (แก้ไข4เกรด)" sheetId="52" state="hidden" r:id="rId2"/>
    <sheet name="gr.A2(แก้ไข5เกรด)" sheetId="55" state="hidden" r:id="rId3"/>
    <sheet name="gr.B2(รศ.ดร.จิระภา&amp;อ.อ้อยทิพย์)" sheetId="35" state="hidden" r:id="rId4"/>
    <sheet name="gr.B2(ปรับคะแนนรัตนาภรณ์ใหม่)" sheetId="37" state="hidden" r:id="rId5"/>
    <sheet name="gr.C1(ปรับคะแนนใหม่)" sheetId="39" state="hidden" r:id="rId6"/>
    <sheet name="gr.D1(อ.ธมลวรรณเดิม)" sheetId="41" state="hidden" r:id="rId7"/>
    <sheet name="gr.D1(ปรับคะแนนเจนจิฬาใหม่)" sheetId="42" state="hidden" r:id="rId8"/>
    <sheet name="gr.D2(ปรับคะแนนใหม่)" sheetId="44" state="hidden" r:id="rId9"/>
    <sheet name="gr.D2(อ.บุปผาเดิม)" sheetId="46" state="hidden" r:id="rId10"/>
    <sheet name="AssistPro.Dr (Yuphadi)" sheetId="132" r:id="rId11"/>
    <sheet name="Dr (Jirachaya)" sheetId="134" r:id="rId12"/>
    <sheet name="A (Sirikorn)" sheetId="138" r:id="rId13"/>
    <sheet name="A (Supaphak)" sheetId="125" r:id="rId14"/>
    <sheet name="A (Jeerapa)" sheetId="126" r:id="rId15"/>
    <sheet name="A (Lanaprai)" sheetId="137" r:id="rId16"/>
    <sheet name="A (Ratanapenporn)" sheetId="120" r:id="rId17"/>
    <sheet name="A (Pattira)" sheetId="124" r:id="rId18"/>
    <sheet name="A(Sutapinun)" sheetId="133" r:id="rId19"/>
    <sheet name="Dr (Kamolrat" sheetId="129" r:id="rId20"/>
    <sheet name="A (Anucha)" sheetId="136" r:id="rId21"/>
    <sheet name="A (Amornrat) " sheetId="135" r:id="rId22"/>
    <sheet name="Grade" sheetId="94" r:id="rId23"/>
    <sheet name="cover" sheetId="95" r:id="rId24"/>
    <sheet name="Count grade" sheetId="50" state="hidden" r:id="rId25"/>
  </sheets>
  <definedNames>
    <definedName name="_xlnm.Print_Area" localSheetId="14">'A (Jeerapa)'!$A$1:$U$149</definedName>
    <definedName name="_xlnm.Print_Area" localSheetId="17">'A (Pattira)'!$A$1:$U$149</definedName>
    <definedName name="_xlnm.Print_Area" localSheetId="16">'A (Ratanapenporn)'!$A$1:$U$149</definedName>
    <definedName name="_xlnm.Print_Area" localSheetId="13">'A (Supaphak)'!$A$1:$U$149</definedName>
    <definedName name="_xlnm.Print_Area" localSheetId="10">'AssistPro.Dr (Yuphadi)'!$A$1:$U$149</definedName>
    <definedName name="_xlnm.Print_Area" localSheetId="23">cover!$A$1:$O$38</definedName>
    <definedName name="_xlnm.Print_Area" localSheetId="0">'gr.A1(อ.ภัททิรา)'!$A$1:$R$113</definedName>
    <definedName name="_xlnm.Print_Area" localSheetId="1">'gr.A2 (แก้ไข4เกรด)'!$A$1:$R$113</definedName>
    <definedName name="_xlnm.Print_Area" localSheetId="2">'gr.A2(แก้ไข5เกรด)'!$A$1:$R$113</definedName>
    <definedName name="_xlnm.Print_Area" localSheetId="4">'gr.B2(ปรับคะแนนรัตนาภรณ์ใหม่)'!$A$1:$R$116</definedName>
    <definedName name="_xlnm.Print_Area" localSheetId="3">'gr.B2(รศ.ดร.จิระภา&amp;อ.อ้อยทิพย์)'!$A$1:$R$116</definedName>
    <definedName name="_xlnm.Print_Area" localSheetId="5">'gr.C1(ปรับคะแนนใหม่)'!$A$1:$R$113</definedName>
    <definedName name="_xlnm.Print_Area" localSheetId="7">'gr.D1(ปรับคะแนนเจนจิฬาใหม่)'!$A$1:$R$113</definedName>
    <definedName name="_xlnm.Print_Area" localSheetId="6">'gr.D1(อ.ธมลวรรณเดิม)'!$A$1:$R$113</definedName>
    <definedName name="_xlnm.Print_Area" localSheetId="8">'gr.D2(ปรับคะแนนใหม่)'!$A$1:$R$113</definedName>
    <definedName name="_xlnm.Print_Area" localSheetId="9">'gr.D2(อ.บุปผาเดิม)'!$A$1:$R$113</definedName>
    <definedName name="_xlnm.Print_Area" localSheetId="22">Grade!$A$1:$H$134</definedName>
    <definedName name="_xlnm.Print_Titles" localSheetId="14">'A (Jeerapa)'!$1:$3</definedName>
    <definedName name="_xlnm.Print_Titles" localSheetId="17">'A (Pattira)'!$1:$3</definedName>
    <definedName name="_xlnm.Print_Titles" localSheetId="16">'A (Ratanapenporn)'!$1:$3</definedName>
    <definedName name="_xlnm.Print_Titles" localSheetId="13">'A (Supaphak)'!$1:$3</definedName>
    <definedName name="_xlnm.Print_Titles" localSheetId="10">'AssistPro.Dr (Yuphadi)'!$1:$3</definedName>
    <definedName name="_xlnm.Print_Titles" localSheetId="0">'gr.A1(อ.ภัททิรา)'!$1:$3</definedName>
    <definedName name="_xlnm.Print_Titles" localSheetId="1">'gr.A2 (แก้ไข4เกรด)'!$1:$3</definedName>
    <definedName name="_xlnm.Print_Titles" localSheetId="2">'gr.A2(แก้ไข5เกรด)'!$1:$3</definedName>
    <definedName name="_xlnm.Print_Titles" localSheetId="4">'gr.B2(ปรับคะแนนรัตนาภรณ์ใหม่)'!$1:$3</definedName>
    <definedName name="_xlnm.Print_Titles" localSheetId="3">'gr.B2(รศ.ดร.จิระภา&amp;อ.อ้อยทิพย์)'!$1:$3</definedName>
    <definedName name="_xlnm.Print_Titles" localSheetId="5">'gr.C1(ปรับคะแนนใหม่)'!$1:$3</definedName>
    <definedName name="_xlnm.Print_Titles" localSheetId="7">'gr.D1(ปรับคะแนนเจนจิฬาใหม่)'!$1:$3</definedName>
    <definedName name="_xlnm.Print_Titles" localSheetId="6">'gr.D1(อ.ธมลวรรณเดิม)'!$1:$3</definedName>
    <definedName name="_xlnm.Print_Titles" localSheetId="8">'gr.D2(ปรับคะแนนใหม่)'!$1:$3</definedName>
    <definedName name="_xlnm.Print_Titles" localSheetId="9">'gr.D2(อ.บุปผาเดิม)'!$1:$3</definedName>
    <definedName name="_xlnm.Print_Titles" localSheetId="22">Grade!$1:$6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24" l="1"/>
  <c r="P15" i="124" l="1"/>
  <c r="P14" i="124"/>
  <c r="P13" i="124"/>
  <c r="P12" i="124"/>
  <c r="P11" i="124"/>
  <c r="P10" i="124"/>
  <c r="P8" i="124"/>
  <c r="D15" i="124"/>
  <c r="D14" i="124"/>
  <c r="D13" i="124"/>
  <c r="D12" i="124"/>
  <c r="D11" i="124"/>
  <c r="D10" i="124"/>
  <c r="D8" i="124"/>
  <c r="A7" i="95" l="1"/>
  <c r="C148" i="138"/>
  <c r="B148" i="138"/>
  <c r="A148" i="138"/>
  <c r="C147" i="138"/>
  <c r="B147" i="138"/>
  <c r="A147" i="138"/>
  <c r="C146" i="138"/>
  <c r="B146" i="138"/>
  <c r="A146" i="138"/>
  <c r="C145" i="138"/>
  <c r="B145" i="138"/>
  <c r="A145" i="138"/>
  <c r="C144" i="138"/>
  <c r="B144" i="138"/>
  <c r="A144" i="138"/>
  <c r="C143" i="138"/>
  <c r="B143" i="138"/>
  <c r="A143" i="138"/>
  <c r="C142" i="138"/>
  <c r="B142" i="138"/>
  <c r="A142" i="138"/>
  <c r="C141" i="138"/>
  <c r="B141" i="138"/>
  <c r="A141" i="138"/>
  <c r="C140" i="138"/>
  <c r="B140" i="138"/>
  <c r="A140" i="138"/>
  <c r="C139" i="138"/>
  <c r="B139" i="138"/>
  <c r="A139" i="138"/>
  <c r="B132" i="138"/>
  <c r="C132" i="138" s="1"/>
  <c r="B130" i="138"/>
  <c r="C130" i="138" s="1"/>
  <c r="B127" i="138"/>
  <c r="C127" i="138" s="1"/>
  <c r="L113" i="138" s="1"/>
  <c r="C124" i="138"/>
  <c r="L110" i="138" s="1"/>
  <c r="B124" i="138"/>
  <c r="B128" i="138" s="1"/>
  <c r="C128" i="138" s="1"/>
  <c r="C117" i="138"/>
  <c r="B117" i="138"/>
  <c r="A117" i="138"/>
  <c r="C116" i="138"/>
  <c r="B116" i="138"/>
  <c r="A116" i="138"/>
  <c r="M115" i="138"/>
  <c r="L115" i="138"/>
  <c r="J115" i="138"/>
  <c r="I115" i="138"/>
  <c r="C115" i="138"/>
  <c r="B115" i="138"/>
  <c r="A115" i="138"/>
  <c r="S114" i="138"/>
  <c r="T114" i="138" s="1"/>
  <c r="Q114" i="138"/>
  <c r="O114" i="138"/>
  <c r="L114" i="138"/>
  <c r="M114" i="138" s="1"/>
  <c r="J114" i="138"/>
  <c r="I114" i="138"/>
  <c r="C114" i="138"/>
  <c r="B114" i="138"/>
  <c r="A114" i="138"/>
  <c r="S113" i="138"/>
  <c r="T113" i="138" s="1"/>
  <c r="Q113" i="138"/>
  <c r="O113" i="138"/>
  <c r="C113" i="138"/>
  <c r="B113" i="138"/>
  <c r="A113" i="138"/>
  <c r="T112" i="138"/>
  <c r="S112" i="138"/>
  <c r="Q112" i="138"/>
  <c r="O112" i="138"/>
  <c r="C112" i="138"/>
  <c r="B112" i="138"/>
  <c r="A112" i="138"/>
  <c r="T111" i="138"/>
  <c r="S111" i="138"/>
  <c r="Q111" i="138"/>
  <c r="P111" i="138"/>
  <c r="G109" i="138" s="1"/>
  <c r="O111" i="138"/>
  <c r="C111" i="138"/>
  <c r="B111" i="138"/>
  <c r="A111" i="138"/>
  <c r="S110" i="138"/>
  <c r="T110" i="138" s="1"/>
  <c r="Q110" i="138"/>
  <c r="O110" i="138"/>
  <c r="G110" i="138"/>
  <c r="C110" i="138"/>
  <c r="B110" i="138"/>
  <c r="A110" i="138"/>
  <c r="T109" i="138"/>
  <c r="S109" i="138"/>
  <c r="Q109" i="138"/>
  <c r="O109" i="138"/>
  <c r="M109" i="138"/>
  <c r="L109" i="138"/>
  <c r="J109" i="138"/>
  <c r="I109" i="138"/>
  <c r="C109" i="138"/>
  <c r="B109" i="138"/>
  <c r="A109" i="138"/>
  <c r="T108" i="138"/>
  <c r="S108" i="138"/>
  <c r="Q108" i="138"/>
  <c r="O108" i="138"/>
  <c r="M108" i="138"/>
  <c r="L108" i="138"/>
  <c r="J108" i="138"/>
  <c r="I108" i="138"/>
  <c r="C108" i="138"/>
  <c r="B108" i="138"/>
  <c r="A108" i="138"/>
  <c r="D107" i="138"/>
  <c r="C102" i="138"/>
  <c r="B102" i="138"/>
  <c r="A102" i="138"/>
  <c r="C101" i="138"/>
  <c r="B101" i="138"/>
  <c r="A101" i="138"/>
  <c r="C100" i="138"/>
  <c r="B100" i="138"/>
  <c r="A100" i="138"/>
  <c r="C99" i="138"/>
  <c r="B99" i="138"/>
  <c r="A99" i="138"/>
  <c r="C98" i="138"/>
  <c r="B98" i="138"/>
  <c r="A98" i="138"/>
  <c r="C97" i="138"/>
  <c r="B97" i="138"/>
  <c r="A97" i="138"/>
  <c r="C96" i="138"/>
  <c r="B96" i="138"/>
  <c r="A96" i="138"/>
  <c r="C95" i="138"/>
  <c r="B95" i="138"/>
  <c r="A95" i="138"/>
  <c r="C94" i="138"/>
  <c r="B94" i="138"/>
  <c r="A94" i="138"/>
  <c r="C93" i="138"/>
  <c r="B93" i="138"/>
  <c r="A93" i="138"/>
  <c r="D92" i="138"/>
  <c r="D138" i="138" s="1"/>
  <c r="S86" i="138"/>
  <c r="P86" i="138"/>
  <c r="M86" i="138"/>
  <c r="J86" i="138"/>
  <c r="G86" i="138"/>
  <c r="D86" i="138"/>
  <c r="S85" i="138"/>
  <c r="P85" i="138"/>
  <c r="M85" i="138"/>
  <c r="J85" i="138"/>
  <c r="G85" i="138"/>
  <c r="D85" i="138"/>
  <c r="U84" i="138"/>
  <c r="T84" i="138"/>
  <c r="R84" i="138"/>
  <c r="Q84" i="138"/>
  <c r="O84" i="138"/>
  <c r="N84" i="138"/>
  <c r="L84" i="138"/>
  <c r="K84" i="138"/>
  <c r="I84" i="138"/>
  <c r="H84" i="138"/>
  <c r="F84" i="138"/>
  <c r="E84" i="138"/>
  <c r="C84" i="138"/>
  <c r="B84" i="138"/>
  <c r="A84" i="138"/>
  <c r="U83" i="138"/>
  <c r="T83" i="138"/>
  <c r="R83" i="138"/>
  <c r="Q83" i="138"/>
  <c r="O83" i="138"/>
  <c r="N83" i="138"/>
  <c r="L83" i="138"/>
  <c r="K83" i="138"/>
  <c r="I83" i="138"/>
  <c r="H83" i="138"/>
  <c r="F83" i="138"/>
  <c r="E83" i="138"/>
  <c r="C83" i="138"/>
  <c r="B83" i="138"/>
  <c r="A83" i="138"/>
  <c r="U82" i="138"/>
  <c r="T82" i="138"/>
  <c r="R82" i="138"/>
  <c r="Q82" i="138"/>
  <c r="O82" i="138"/>
  <c r="N82" i="138"/>
  <c r="L82" i="138"/>
  <c r="K82" i="138"/>
  <c r="I82" i="138"/>
  <c r="H82" i="138"/>
  <c r="F82" i="138"/>
  <c r="E82" i="138"/>
  <c r="C82" i="138"/>
  <c r="B82" i="138"/>
  <c r="A82" i="138"/>
  <c r="U81" i="138"/>
  <c r="T81" i="138"/>
  <c r="R81" i="138"/>
  <c r="Q81" i="138"/>
  <c r="O81" i="138"/>
  <c r="N81" i="138"/>
  <c r="L81" i="138"/>
  <c r="K81" i="138"/>
  <c r="I81" i="138"/>
  <c r="H81" i="138"/>
  <c r="F81" i="138"/>
  <c r="E81" i="138"/>
  <c r="C81" i="138"/>
  <c r="B81" i="138"/>
  <c r="A81" i="138"/>
  <c r="U80" i="138"/>
  <c r="T80" i="138"/>
  <c r="R80" i="138"/>
  <c r="Q80" i="138"/>
  <c r="O80" i="138"/>
  <c r="N80" i="138"/>
  <c r="L80" i="138"/>
  <c r="K80" i="138"/>
  <c r="I80" i="138"/>
  <c r="H80" i="138"/>
  <c r="F80" i="138"/>
  <c r="E80" i="138"/>
  <c r="C80" i="138"/>
  <c r="B80" i="138"/>
  <c r="A80" i="138"/>
  <c r="U79" i="138"/>
  <c r="T79" i="138"/>
  <c r="R79" i="138"/>
  <c r="Q79" i="138"/>
  <c r="O79" i="138"/>
  <c r="N79" i="138"/>
  <c r="L79" i="138"/>
  <c r="K79" i="138"/>
  <c r="I79" i="138"/>
  <c r="H79" i="138"/>
  <c r="F79" i="138"/>
  <c r="E79" i="138"/>
  <c r="C79" i="138"/>
  <c r="B79" i="138"/>
  <c r="A79" i="138"/>
  <c r="U78" i="138"/>
  <c r="T78" i="138"/>
  <c r="R78" i="138"/>
  <c r="Q78" i="138"/>
  <c r="O78" i="138"/>
  <c r="N78" i="138"/>
  <c r="L78" i="138"/>
  <c r="K78" i="138"/>
  <c r="I78" i="138"/>
  <c r="H78" i="138"/>
  <c r="F78" i="138"/>
  <c r="E78" i="138"/>
  <c r="C78" i="138"/>
  <c r="B78" i="138"/>
  <c r="A78" i="138"/>
  <c r="U77" i="138"/>
  <c r="T77" i="138"/>
  <c r="R77" i="138"/>
  <c r="Q77" i="138"/>
  <c r="O77" i="138"/>
  <c r="N77" i="138"/>
  <c r="L77" i="138"/>
  <c r="K77" i="138"/>
  <c r="I77" i="138"/>
  <c r="H77" i="138"/>
  <c r="F77" i="138"/>
  <c r="E77" i="138"/>
  <c r="C77" i="138"/>
  <c r="B77" i="138"/>
  <c r="A77" i="138"/>
  <c r="U76" i="138"/>
  <c r="T76" i="138"/>
  <c r="R76" i="138"/>
  <c r="Q76" i="138"/>
  <c r="O76" i="138"/>
  <c r="N76" i="138"/>
  <c r="L76" i="138"/>
  <c r="K76" i="138"/>
  <c r="I76" i="138"/>
  <c r="H76" i="138"/>
  <c r="F76" i="138"/>
  <c r="E76" i="138"/>
  <c r="C76" i="138"/>
  <c r="B76" i="138"/>
  <c r="A76" i="138"/>
  <c r="U75" i="138"/>
  <c r="T75" i="138"/>
  <c r="R75" i="138"/>
  <c r="Q75" i="138"/>
  <c r="O75" i="138"/>
  <c r="N75" i="138"/>
  <c r="L75" i="138"/>
  <c r="K75" i="138"/>
  <c r="I75" i="138"/>
  <c r="H75" i="138"/>
  <c r="F75" i="138"/>
  <c r="E75" i="138"/>
  <c r="C75" i="138"/>
  <c r="B75" i="138"/>
  <c r="A75" i="138"/>
  <c r="U74" i="138"/>
  <c r="R74" i="138"/>
  <c r="O74" i="138"/>
  <c r="L74" i="138"/>
  <c r="I74" i="138"/>
  <c r="F74" i="138"/>
  <c r="S69" i="138"/>
  <c r="P69" i="138"/>
  <c r="M69" i="138"/>
  <c r="J69" i="138"/>
  <c r="G69" i="138"/>
  <c r="D69" i="138"/>
  <c r="S68" i="138"/>
  <c r="P68" i="138"/>
  <c r="M68" i="138"/>
  <c r="J68" i="138"/>
  <c r="G68" i="138"/>
  <c r="D68" i="138"/>
  <c r="U67" i="138"/>
  <c r="T67" i="138"/>
  <c r="R67" i="138"/>
  <c r="Q67" i="138"/>
  <c r="O67" i="138"/>
  <c r="N67" i="138"/>
  <c r="L67" i="138"/>
  <c r="K67" i="138"/>
  <c r="I67" i="138"/>
  <c r="H67" i="138"/>
  <c r="F67" i="138"/>
  <c r="E67" i="138"/>
  <c r="C67" i="138"/>
  <c r="B67" i="138"/>
  <c r="U66" i="138"/>
  <c r="T66" i="138"/>
  <c r="R66" i="138"/>
  <c r="Q66" i="138"/>
  <c r="O66" i="138"/>
  <c r="N66" i="138"/>
  <c r="L66" i="138"/>
  <c r="K66" i="138"/>
  <c r="I66" i="138"/>
  <c r="H66" i="138"/>
  <c r="F66" i="138"/>
  <c r="E66" i="138"/>
  <c r="C66" i="138"/>
  <c r="B66" i="138"/>
  <c r="U65" i="138"/>
  <c r="T65" i="138"/>
  <c r="R65" i="138"/>
  <c r="Q65" i="138"/>
  <c r="O65" i="138"/>
  <c r="N65" i="138"/>
  <c r="L65" i="138"/>
  <c r="K65" i="138"/>
  <c r="I65" i="138"/>
  <c r="H65" i="138"/>
  <c r="F65" i="138"/>
  <c r="E65" i="138"/>
  <c r="C65" i="138"/>
  <c r="B65" i="138"/>
  <c r="U64" i="138"/>
  <c r="T64" i="138"/>
  <c r="R64" i="138"/>
  <c r="Q64" i="138"/>
  <c r="O64" i="138"/>
  <c r="N64" i="138"/>
  <c r="L64" i="138"/>
  <c r="K64" i="138"/>
  <c r="I64" i="138"/>
  <c r="H64" i="138"/>
  <c r="F64" i="138"/>
  <c r="E64" i="138"/>
  <c r="C64" i="138"/>
  <c r="B64" i="138"/>
  <c r="U63" i="138"/>
  <c r="T63" i="138"/>
  <c r="R63" i="138"/>
  <c r="Q63" i="138"/>
  <c r="O63" i="138"/>
  <c r="N63" i="138"/>
  <c r="L63" i="138"/>
  <c r="K63" i="138"/>
  <c r="I63" i="138"/>
  <c r="H63" i="138"/>
  <c r="F63" i="138"/>
  <c r="E63" i="138"/>
  <c r="C63" i="138"/>
  <c r="B63" i="138"/>
  <c r="U62" i="138"/>
  <c r="T62" i="138"/>
  <c r="R62" i="138"/>
  <c r="Q62" i="138"/>
  <c r="O62" i="138"/>
  <c r="N62" i="138"/>
  <c r="L62" i="138"/>
  <c r="K62" i="138"/>
  <c r="I62" i="138"/>
  <c r="H62" i="138"/>
  <c r="F62" i="138"/>
  <c r="E62" i="138"/>
  <c r="C62" i="138"/>
  <c r="B62" i="138"/>
  <c r="U61" i="138"/>
  <c r="T61" i="138"/>
  <c r="R61" i="138"/>
  <c r="Q61" i="138"/>
  <c r="O61" i="138"/>
  <c r="N61" i="138"/>
  <c r="L61" i="138"/>
  <c r="K61" i="138"/>
  <c r="I61" i="138"/>
  <c r="H61" i="138"/>
  <c r="F61" i="138"/>
  <c r="E61" i="138"/>
  <c r="C61" i="138"/>
  <c r="B61" i="138"/>
  <c r="U60" i="138"/>
  <c r="T60" i="138"/>
  <c r="R60" i="138"/>
  <c r="Q60" i="138"/>
  <c r="O60" i="138"/>
  <c r="N60" i="138"/>
  <c r="L60" i="138"/>
  <c r="K60" i="138"/>
  <c r="I60" i="138"/>
  <c r="H60" i="138"/>
  <c r="F60" i="138"/>
  <c r="E60" i="138"/>
  <c r="C60" i="138"/>
  <c r="B60" i="138"/>
  <c r="U59" i="138"/>
  <c r="T59" i="138"/>
  <c r="R59" i="138"/>
  <c r="Q59" i="138"/>
  <c r="O59" i="138"/>
  <c r="N59" i="138"/>
  <c r="L59" i="138"/>
  <c r="K59" i="138"/>
  <c r="I59" i="138"/>
  <c r="H59" i="138"/>
  <c r="F59" i="138"/>
  <c r="E59" i="138"/>
  <c r="C59" i="138"/>
  <c r="B59" i="138"/>
  <c r="U58" i="138"/>
  <c r="T58" i="138"/>
  <c r="R58" i="138"/>
  <c r="Q58" i="138"/>
  <c r="O58" i="138"/>
  <c r="N58" i="138"/>
  <c r="L58" i="138"/>
  <c r="K58" i="138"/>
  <c r="I58" i="138"/>
  <c r="H58" i="138"/>
  <c r="F58" i="138"/>
  <c r="E58" i="138"/>
  <c r="C58" i="138"/>
  <c r="B58" i="138"/>
  <c r="U57" i="138"/>
  <c r="R57" i="138"/>
  <c r="O57" i="138"/>
  <c r="L57" i="138"/>
  <c r="I57" i="138"/>
  <c r="F57" i="138"/>
  <c r="S52" i="138"/>
  <c r="P52" i="138"/>
  <c r="M52" i="138"/>
  <c r="J52" i="138"/>
  <c r="G52" i="138"/>
  <c r="D52" i="138"/>
  <c r="S51" i="138"/>
  <c r="P51" i="138"/>
  <c r="M51" i="138"/>
  <c r="J51" i="138"/>
  <c r="G51" i="138"/>
  <c r="D51" i="138"/>
  <c r="U50" i="138"/>
  <c r="T50" i="138"/>
  <c r="R50" i="138"/>
  <c r="Q50" i="138"/>
  <c r="O50" i="138"/>
  <c r="N50" i="138"/>
  <c r="L50" i="138"/>
  <c r="K50" i="138"/>
  <c r="I50" i="138"/>
  <c r="H50" i="138"/>
  <c r="F50" i="138"/>
  <c r="E50" i="138"/>
  <c r="C50" i="138"/>
  <c r="B50" i="138"/>
  <c r="U49" i="138"/>
  <c r="T49" i="138"/>
  <c r="R49" i="138"/>
  <c r="Q49" i="138"/>
  <c r="O49" i="138"/>
  <c r="N49" i="138"/>
  <c r="L49" i="138"/>
  <c r="K49" i="138"/>
  <c r="I49" i="138"/>
  <c r="H49" i="138"/>
  <c r="F49" i="138"/>
  <c r="E49" i="138"/>
  <c r="C49" i="138"/>
  <c r="B49" i="138"/>
  <c r="U48" i="138"/>
  <c r="T48" i="138"/>
  <c r="R48" i="138"/>
  <c r="Q48" i="138"/>
  <c r="O48" i="138"/>
  <c r="N48" i="138"/>
  <c r="L48" i="138"/>
  <c r="K48" i="138"/>
  <c r="I48" i="138"/>
  <c r="H48" i="138"/>
  <c r="F48" i="138"/>
  <c r="E48" i="138"/>
  <c r="C48" i="138"/>
  <c r="B48" i="138"/>
  <c r="U47" i="138"/>
  <c r="T47" i="138"/>
  <c r="R47" i="138"/>
  <c r="Q47" i="138"/>
  <c r="O47" i="138"/>
  <c r="N47" i="138"/>
  <c r="L47" i="138"/>
  <c r="K47" i="138"/>
  <c r="I47" i="138"/>
  <c r="H47" i="138"/>
  <c r="F47" i="138"/>
  <c r="E47" i="138"/>
  <c r="C47" i="138"/>
  <c r="B47" i="138"/>
  <c r="U46" i="138"/>
  <c r="T46" i="138"/>
  <c r="R46" i="138"/>
  <c r="Q46" i="138"/>
  <c r="O46" i="138"/>
  <c r="N46" i="138"/>
  <c r="L46" i="138"/>
  <c r="K46" i="138"/>
  <c r="I46" i="138"/>
  <c r="H46" i="138"/>
  <c r="F46" i="138"/>
  <c r="E46" i="138"/>
  <c r="C46" i="138"/>
  <c r="B46" i="138"/>
  <c r="U45" i="138"/>
  <c r="T45" i="138"/>
  <c r="R45" i="138"/>
  <c r="Q45" i="138"/>
  <c r="O45" i="138"/>
  <c r="N45" i="138"/>
  <c r="L45" i="138"/>
  <c r="K45" i="138"/>
  <c r="I45" i="138"/>
  <c r="H45" i="138"/>
  <c r="F45" i="138"/>
  <c r="E45" i="138"/>
  <c r="C45" i="138"/>
  <c r="B45" i="138"/>
  <c r="U44" i="138"/>
  <c r="T44" i="138"/>
  <c r="R44" i="138"/>
  <c r="Q44" i="138"/>
  <c r="O44" i="138"/>
  <c r="N44" i="138"/>
  <c r="L44" i="138"/>
  <c r="K44" i="138"/>
  <c r="I44" i="138"/>
  <c r="H44" i="138"/>
  <c r="F44" i="138"/>
  <c r="E44" i="138"/>
  <c r="C44" i="138"/>
  <c r="B44" i="138"/>
  <c r="U43" i="138"/>
  <c r="T43" i="138"/>
  <c r="R43" i="138"/>
  <c r="Q43" i="138"/>
  <c r="O43" i="138"/>
  <c r="N43" i="138"/>
  <c r="L43" i="138"/>
  <c r="K43" i="138"/>
  <c r="I43" i="138"/>
  <c r="H43" i="138"/>
  <c r="F43" i="138"/>
  <c r="E43" i="138"/>
  <c r="C43" i="138"/>
  <c r="B43" i="138"/>
  <c r="U42" i="138"/>
  <c r="T42" i="138"/>
  <c r="R42" i="138"/>
  <c r="Q42" i="138"/>
  <c r="O42" i="138"/>
  <c r="N42" i="138"/>
  <c r="L42" i="138"/>
  <c r="K42" i="138"/>
  <c r="I42" i="138"/>
  <c r="H42" i="138"/>
  <c r="F42" i="138"/>
  <c r="E42" i="138"/>
  <c r="C42" i="138"/>
  <c r="B42" i="138"/>
  <c r="U41" i="138"/>
  <c r="T41" i="138"/>
  <c r="R41" i="138"/>
  <c r="Q41" i="138"/>
  <c r="O41" i="138"/>
  <c r="N41" i="138"/>
  <c r="L41" i="138"/>
  <c r="K41" i="138"/>
  <c r="I41" i="138"/>
  <c r="H41" i="138"/>
  <c r="F41" i="138"/>
  <c r="E41" i="138"/>
  <c r="C41" i="138"/>
  <c r="B41" i="138"/>
  <c r="U40" i="138"/>
  <c r="R40" i="138"/>
  <c r="O40" i="138"/>
  <c r="L40" i="138"/>
  <c r="I40" i="138"/>
  <c r="F40" i="138"/>
  <c r="S35" i="138"/>
  <c r="P35" i="138"/>
  <c r="M35" i="138"/>
  <c r="J35" i="138"/>
  <c r="G35" i="138"/>
  <c r="D35" i="138"/>
  <c r="S34" i="138"/>
  <c r="P34" i="138"/>
  <c r="M34" i="138"/>
  <c r="J34" i="138"/>
  <c r="G34" i="138"/>
  <c r="D34" i="138"/>
  <c r="U33" i="138"/>
  <c r="T33" i="138"/>
  <c r="R33" i="138"/>
  <c r="Q33" i="138"/>
  <c r="O33" i="138"/>
  <c r="N33" i="138"/>
  <c r="L33" i="138"/>
  <c r="K33" i="138"/>
  <c r="I33" i="138"/>
  <c r="H33" i="138"/>
  <c r="F33" i="138"/>
  <c r="E33" i="138"/>
  <c r="C33" i="138"/>
  <c r="B33" i="138"/>
  <c r="U32" i="138"/>
  <c r="T32" i="138"/>
  <c r="R32" i="138"/>
  <c r="Q32" i="138"/>
  <c r="O32" i="138"/>
  <c r="N32" i="138"/>
  <c r="L32" i="138"/>
  <c r="K32" i="138"/>
  <c r="I32" i="138"/>
  <c r="H32" i="138"/>
  <c r="F32" i="138"/>
  <c r="E32" i="138"/>
  <c r="C32" i="138"/>
  <c r="B32" i="138"/>
  <c r="U31" i="138"/>
  <c r="T31" i="138"/>
  <c r="R31" i="138"/>
  <c r="Q31" i="138"/>
  <c r="O31" i="138"/>
  <c r="N31" i="138"/>
  <c r="L31" i="138"/>
  <c r="I31" i="138"/>
  <c r="F31" i="138"/>
  <c r="C31" i="138"/>
  <c r="B31" i="138"/>
  <c r="U30" i="138"/>
  <c r="T30" i="138"/>
  <c r="R30" i="138"/>
  <c r="Q30" i="138"/>
  <c r="O30" i="138"/>
  <c r="N30" i="138"/>
  <c r="L30" i="138"/>
  <c r="I30" i="138"/>
  <c r="F30" i="138"/>
  <c r="C30" i="138"/>
  <c r="B30" i="138"/>
  <c r="U29" i="138"/>
  <c r="T29" i="138"/>
  <c r="R29" i="138"/>
  <c r="Q29" i="138"/>
  <c r="O29" i="138"/>
  <c r="N29" i="138"/>
  <c r="L29" i="138"/>
  <c r="I29" i="138"/>
  <c r="F29" i="138"/>
  <c r="C29" i="138"/>
  <c r="B29" i="138"/>
  <c r="U28" i="138"/>
  <c r="T28" i="138"/>
  <c r="R28" i="138"/>
  <c r="Q28" i="138"/>
  <c r="O28" i="138"/>
  <c r="N28" i="138"/>
  <c r="L28" i="138"/>
  <c r="I28" i="138"/>
  <c r="F28" i="138"/>
  <c r="C28" i="138"/>
  <c r="B28" i="138"/>
  <c r="U27" i="138"/>
  <c r="T27" i="138"/>
  <c r="R27" i="138"/>
  <c r="Q27" i="138"/>
  <c r="O27" i="138"/>
  <c r="N27" i="138"/>
  <c r="L27" i="138"/>
  <c r="I27" i="138"/>
  <c r="F27" i="138"/>
  <c r="C27" i="138"/>
  <c r="B27" i="138"/>
  <c r="U26" i="138"/>
  <c r="T26" i="138"/>
  <c r="R26" i="138"/>
  <c r="Q26" i="138"/>
  <c r="O26" i="138"/>
  <c r="N26" i="138"/>
  <c r="L26" i="138"/>
  <c r="I26" i="138"/>
  <c r="F26" i="138"/>
  <c r="C26" i="138"/>
  <c r="B26" i="138"/>
  <c r="U25" i="138"/>
  <c r="T25" i="138"/>
  <c r="R25" i="138"/>
  <c r="Q25" i="138"/>
  <c r="O25" i="138"/>
  <c r="N25" i="138"/>
  <c r="L25" i="138"/>
  <c r="I25" i="138"/>
  <c r="F25" i="138"/>
  <c r="C25" i="138"/>
  <c r="B25" i="138"/>
  <c r="U24" i="138"/>
  <c r="T24" i="138"/>
  <c r="R24" i="138"/>
  <c r="Q24" i="138"/>
  <c r="O24" i="138"/>
  <c r="N24" i="138"/>
  <c r="L24" i="138"/>
  <c r="I24" i="138"/>
  <c r="F24" i="138"/>
  <c r="C24" i="138"/>
  <c r="B24" i="138"/>
  <c r="U23" i="138"/>
  <c r="R23" i="138"/>
  <c r="O23" i="138"/>
  <c r="L23" i="138"/>
  <c r="I23" i="138"/>
  <c r="F23" i="138"/>
  <c r="S19" i="138"/>
  <c r="P19" i="138"/>
  <c r="R13" i="138" s="1"/>
  <c r="M19" i="138"/>
  <c r="J19" i="138"/>
  <c r="L8" i="138" s="1"/>
  <c r="G19" i="138"/>
  <c r="D19" i="138"/>
  <c r="S18" i="138"/>
  <c r="P18" i="138"/>
  <c r="R11" i="138" s="1"/>
  <c r="M18" i="138"/>
  <c r="O14" i="138" s="1"/>
  <c r="J18" i="138"/>
  <c r="G18" i="138"/>
  <c r="D18" i="138"/>
  <c r="U17" i="138"/>
  <c r="T17" i="138"/>
  <c r="R17" i="138"/>
  <c r="Q17" i="138"/>
  <c r="O17" i="138"/>
  <c r="N17" i="138"/>
  <c r="L17" i="138"/>
  <c r="K17" i="138"/>
  <c r="I17" i="138"/>
  <c r="H17" i="138"/>
  <c r="D102" i="138" s="1"/>
  <c r="F17" i="138"/>
  <c r="E17" i="138"/>
  <c r="D117" i="138" s="1"/>
  <c r="E117" i="138" s="1"/>
  <c r="U16" i="138"/>
  <c r="T16" i="138"/>
  <c r="R16" i="138"/>
  <c r="Q16" i="138"/>
  <c r="O16" i="138"/>
  <c r="N16" i="138"/>
  <c r="D101" i="138" s="1"/>
  <c r="L16" i="138"/>
  <c r="K16" i="138"/>
  <c r="I16" i="138"/>
  <c r="H16" i="138"/>
  <c r="F16" i="138"/>
  <c r="E16" i="138"/>
  <c r="D116" i="138" s="1"/>
  <c r="T15" i="138"/>
  <c r="Q15" i="138"/>
  <c r="N15" i="138"/>
  <c r="K15" i="138"/>
  <c r="H15" i="138"/>
  <c r="E15" i="138"/>
  <c r="T14" i="138"/>
  <c r="Q14" i="138"/>
  <c r="N14" i="138"/>
  <c r="L14" i="138"/>
  <c r="K14" i="138"/>
  <c r="H14" i="138"/>
  <c r="E14" i="138"/>
  <c r="T13" i="138"/>
  <c r="Q13" i="138"/>
  <c r="N13" i="138"/>
  <c r="K13" i="138"/>
  <c r="H13" i="138"/>
  <c r="F13" i="138"/>
  <c r="E13" i="138"/>
  <c r="T12" i="138"/>
  <c r="Q12" i="138"/>
  <c r="N12" i="138"/>
  <c r="L12" i="138"/>
  <c r="K12" i="138"/>
  <c r="H12" i="138"/>
  <c r="E12" i="138"/>
  <c r="T11" i="138"/>
  <c r="Q11" i="138"/>
  <c r="N11" i="138"/>
  <c r="K11" i="138"/>
  <c r="H11" i="138"/>
  <c r="E11" i="138"/>
  <c r="T10" i="138"/>
  <c r="Q10" i="138"/>
  <c r="N10" i="138"/>
  <c r="L10" i="138"/>
  <c r="K10" i="138"/>
  <c r="H10" i="138"/>
  <c r="E10" i="138"/>
  <c r="T9" i="138"/>
  <c r="Q9" i="138"/>
  <c r="N9" i="138"/>
  <c r="K9" i="138"/>
  <c r="H9" i="138"/>
  <c r="E9" i="138"/>
  <c r="T8" i="138"/>
  <c r="Q8" i="138"/>
  <c r="N8" i="138"/>
  <c r="K8" i="138"/>
  <c r="H8" i="138"/>
  <c r="E8" i="138"/>
  <c r="U7" i="138"/>
  <c r="R7" i="138"/>
  <c r="O7" i="138"/>
  <c r="L7" i="138"/>
  <c r="L15" i="138" s="1"/>
  <c r="I7" i="138"/>
  <c r="I13" i="138" s="1"/>
  <c r="F7" i="138"/>
  <c r="E107" i="138" s="1"/>
  <c r="C148" i="137"/>
  <c r="B148" i="137"/>
  <c r="A148" i="137"/>
  <c r="C147" i="137"/>
  <c r="B147" i="137"/>
  <c r="A147" i="137"/>
  <c r="C146" i="137"/>
  <c r="B146" i="137"/>
  <c r="A146" i="137"/>
  <c r="C145" i="137"/>
  <c r="B145" i="137"/>
  <c r="A145" i="137"/>
  <c r="C144" i="137"/>
  <c r="B144" i="137"/>
  <c r="A144" i="137"/>
  <c r="C143" i="137"/>
  <c r="B143" i="137"/>
  <c r="A143" i="137"/>
  <c r="C142" i="137"/>
  <c r="B142" i="137"/>
  <c r="A142" i="137"/>
  <c r="C141" i="137"/>
  <c r="B141" i="137"/>
  <c r="A141" i="137"/>
  <c r="C140" i="137"/>
  <c r="B140" i="137"/>
  <c r="A140" i="137"/>
  <c r="C139" i="137"/>
  <c r="B139" i="137"/>
  <c r="A139" i="137"/>
  <c r="B132" i="137"/>
  <c r="C132" i="137" s="1"/>
  <c r="B130" i="137"/>
  <c r="C130" i="137" s="1"/>
  <c r="B127" i="137"/>
  <c r="C127" i="137" s="1"/>
  <c r="L113" i="137" s="1"/>
  <c r="C124" i="137"/>
  <c r="L110" i="137" s="1"/>
  <c r="B124" i="137"/>
  <c r="B128" i="137" s="1"/>
  <c r="C128" i="137" s="1"/>
  <c r="C117" i="137"/>
  <c r="B117" i="137"/>
  <c r="A117" i="137"/>
  <c r="C116" i="137"/>
  <c r="B116" i="137"/>
  <c r="A116" i="137"/>
  <c r="M115" i="137"/>
  <c r="L115" i="137"/>
  <c r="J115" i="137"/>
  <c r="I115" i="137"/>
  <c r="C115" i="137"/>
  <c r="B115" i="137"/>
  <c r="A115" i="137"/>
  <c r="S114" i="137"/>
  <c r="T114" i="137" s="1"/>
  <c r="Q114" i="137"/>
  <c r="O114" i="137"/>
  <c r="L114" i="137"/>
  <c r="M114" i="137" s="1"/>
  <c r="J114" i="137"/>
  <c r="I114" i="137"/>
  <c r="C114" i="137"/>
  <c r="B114" i="137"/>
  <c r="A114" i="137"/>
  <c r="S113" i="137"/>
  <c r="T113" i="137" s="1"/>
  <c r="Q113" i="137"/>
  <c r="O113" i="137"/>
  <c r="C113" i="137"/>
  <c r="B113" i="137"/>
  <c r="A113" i="137"/>
  <c r="T112" i="137"/>
  <c r="S112" i="137"/>
  <c r="Q112" i="137"/>
  <c r="O112" i="137"/>
  <c r="C112" i="137"/>
  <c r="B112" i="137"/>
  <c r="A112" i="137"/>
  <c r="S111" i="137"/>
  <c r="T111" i="137" s="1"/>
  <c r="Q111" i="137"/>
  <c r="P111" i="137"/>
  <c r="G109" i="137" s="1"/>
  <c r="O111" i="137"/>
  <c r="C111" i="137"/>
  <c r="B111" i="137"/>
  <c r="A111" i="137"/>
  <c r="S110" i="137"/>
  <c r="T110" i="137" s="1"/>
  <c r="Q110" i="137"/>
  <c r="O110" i="137"/>
  <c r="C110" i="137"/>
  <c r="B110" i="137"/>
  <c r="A110" i="137"/>
  <c r="T109" i="137"/>
  <c r="S109" i="137"/>
  <c r="Q109" i="137"/>
  <c r="O109" i="137"/>
  <c r="L109" i="137"/>
  <c r="M109" i="137" s="1"/>
  <c r="J109" i="137"/>
  <c r="I109" i="137"/>
  <c r="C109" i="137"/>
  <c r="B109" i="137"/>
  <c r="A109" i="137"/>
  <c r="T108" i="137"/>
  <c r="S108" i="137"/>
  <c r="Q108" i="137"/>
  <c r="O108" i="137"/>
  <c r="M108" i="137"/>
  <c r="L108" i="137"/>
  <c r="J108" i="137"/>
  <c r="I108" i="137"/>
  <c r="C108" i="137"/>
  <c r="B108" i="137"/>
  <c r="A108" i="137"/>
  <c r="D107" i="137"/>
  <c r="C102" i="137"/>
  <c r="B102" i="137"/>
  <c r="A102" i="137"/>
  <c r="C101" i="137"/>
  <c r="B101" i="137"/>
  <c r="A101" i="137"/>
  <c r="C100" i="137"/>
  <c r="B100" i="137"/>
  <c r="A100" i="137"/>
  <c r="C99" i="137"/>
  <c r="B99" i="137"/>
  <c r="A99" i="137"/>
  <c r="C98" i="137"/>
  <c r="B98" i="137"/>
  <c r="A98" i="137"/>
  <c r="C97" i="137"/>
  <c r="B97" i="137"/>
  <c r="A97" i="137"/>
  <c r="C96" i="137"/>
  <c r="B96" i="137"/>
  <c r="A96" i="137"/>
  <c r="C95" i="137"/>
  <c r="B95" i="137"/>
  <c r="A95" i="137"/>
  <c r="C94" i="137"/>
  <c r="B94" i="137"/>
  <c r="A94" i="137"/>
  <c r="C93" i="137"/>
  <c r="B93" i="137"/>
  <c r="A93" i="137"/>
  <c r="D92" i="137"/>
  <c r="D138" i="137" s="1"/>
  <c r="S86" i="137"/>
  <c r="P86" i="137"/>
  <c r="M86" i="137"/>
  <c r="J86" i="137"/>
  <c r="G86" i="137"/>
  <c r="D86" i="137"/>
  <c r="S85" i="137"/>
  <c r="P85" i="137"/>
  <c r="M85" i="137"/>
  <c r="J85" i="137"/>
  <c r="G85" i="137"/>
  <c r="D85" i="137"/>
  <c r="U84" i="137"/>
  <c r="T84" i="137"/>
  <c r="R84" i="137"/>
  <c r="Q84" i="137"/>
  <c r="O84" i="137"/>
  <c r="N84" i="137"/>
  <c r="L84" i="137"/>
  <c r="K84" i="137"/>
  <c r="I84" i="137"/>
  <c r="H84" i="137"/>
  <c r="F84" i="137"/>
  <c r="E84" i="137"/>
  <c r="C84" i="137"/>
  <c r="B84" i="137"/>
  <c r="A84" i="137"/>
  <c r="U83" i="137"/>
  <c r="T83" i="137"/>
  <c r="R83" i="137"/>
  <c r="Q83" i="137"/>
  <c r="O83" i="137"/>
  <c r="N83" i="137"/>
  <c r="L83" i="137"/>
  <c r="K83" i="137"/>
  <c r="I83" i="137"/>
  <c r="H83" i="137"/>
  <c r="F83" i="137"/>
  <c r="E83" i="137"/>
  <c r="C83" i="137"/>
  <c r="B83" i="137"/>
  <c r="A83" i="137"/>
  <c r="U82" i="137"/>
  <c r="T82" i="137"/>
  <c r="R82" i="137"/>
  <c r="Q82" i="137"/>
  <c r="O82" i="137"/>
  <c r="N82" i="137"/>
  <c r="L82" i="137"/>
  <c r="K82" i="137"/>
  <c r="I82" i="137"/>
  <c r="H82" i="137"/>
  <c r="F82" i="137"/>
  <c r="E82" i="137"/>
  <c r="C82" i="137"/>
  <c r="B82" i="137"/>
  <c r="A82" i="137"/>
  <c r="U81" i="137"/>
  <c r="T81" i="137"/>
  <c r="R81" i="137"/>
  <c r="Q81" i="137"/>
  <c r="O81" i="137"/>
  <c r="N81" i="137"/>
  <c r="L81" i="137"/>
  <c r="K81" i="137"/>
  <c r="I81" i="137"/>
  <c r="H81" i="137"/>
  <c r="F81" i="137"/>
  <c r="E81" i="137"/>
  <c r="C81" i="137"/>
  <c r="B81" i="137"/>
  <c r="A81" i="137"/>
  <c r="U80" i="137"/>
  <c r="T80" i="137"/>
  <c r="R80" i="137"/>
  <c r="Q80" i="137"/>
  <c r="O80" i="137"/>
  <c r="N80" i="137"/>
  <c r="L80" i="137"/>
  <c r="K80" i="137"/>
  <c r="I80" i="137"/>
  <c r="H80" i="137"/>
  <c r="F80" i="137"/>
  <c r="E80" i="137"/>
  <c r="C80" i="137"/>
  <c r="B80" i="137"/>
  <c r="A80" i="137"/>
  <c r="U79" i="137"/>
  <c r="T79" i="137"/>
  <c r="R79" i="137"/>
  <c r="Q79" i="137"/>
  <c r="O79" i="137"/>
  <c r="N79" i="137"/>
  <c r="L79" i="137"/>
  <c r="K79" i="137"/>
  <c r="I79" i="137"/>
  <c r="H79" i="137"/>
  <c r="F79" i="137"/>
  <c r="E79" i="137"/>
  <c r="C79" i="137"/>
  <c r="B79" i="137"/>
  <c r="A79" i="137"/>
  <c r="U78" i="137"/>
  <c r="T78" i="137"/>
  <c r="R78" i="137"/>
  <c r="Q78" i="137"/>
  <c r="O78" i="137"/>
  <c r="N78" i="137"/>
  <c r="L78" i="137"/>
  <c r="K78" i="137"/>
  <c r="I78" i="137"/>
  <c r="H78" i="137"/>
  <c r="F78" i="137"/>
  <c r="E78" i="137"/>
  <c r="C78" i="137"/>
  <c r="B78" i="137"/>
  <c r="A78" i="137"/>
  <c r="U77" i="137"/>
  <c r="T77" i="137"/>
  <c r="R77" i="137"/>
  <c r="Q77" i="137"/>
  <c r="O77" i="137"/>
  <c r="N77" i="137"/>
  <c r="L77" i="137"/>
  <c r="K77" i="137"/>
  <c r="I77" i="137"/>
  <c r="H77" i="137"/>
  <c r="F77" i="137"/>
  <c r="E77" i="137"/>
  <c r="C77" i="137"/>
  <c r="B77" i="137"/>
  <c r="A77" i="137"/>
  <c r="U76" i="137"/>
  <c r="T76" i="137"/>
  <c r="R76" i="137"/>
  <c r="Q76" i="137"/>
  <c r="O76" i="137"/>
  <c r="N76" i="137"/>
  <c r="L76" i="137"/>
  <c r="K76" i="137"/>
  <c r="I76" i="137"/>
  <c r="H76" i="137"/>
  <c r="F76" i="137"/>
  <c r="E76" i="137"/>
  <c r="C76" i="137"/>
  <c r="B76" i="137"/>
  <c r="A76" i="137"/>
  <c r="U75" i="137"/>
  <c r="T75" i="137"/>
  <c r="R75" i="137"/>
  <c r="Q75" i="137"/>
  <c r="O75" i="137"/>
  <c r="N75" i="137"/>
  <c r="L75" i="137"/>
  <c r="K75" i="137"/>
  <c r="I75" i="137"/>
  <c r="H75" i="137"/>
  <c r="F75" i="137"/>
  <c r="E75" i="137"/>
  <c r="C75" i="137"/>
  <c r="B75" i="137"/>
  <c r="A75" i="137"/>
  <c r="U74" i="137"/>
  <c r="R74" i="137"/>
  <c r="O74" i="137"/>
  <c r="L74" i="137"/>
  <c r="I74" i="137"/>
  <c r="F74" i="137"/>
  <c r="S69" i="137"/>
  <c r="P69" i="137"/>
  <c r="M69" i="137"/>
  <c r="J69" i="137"/>
  <c r="G69" i="137"/>
  <c r="D69" i="137"/>
  <c r="S68" i="137"/>
  <c r="P68" i="137"/>
  <c r="M68" i="137"/>
  <c r="J68" i="137"/>
  <c r="G68" i="137"/>
  <c r="D68" i="137"/>
  <c r="U67" i="137"/>
  <c r="T67" i="137"/>
  <c r="R67" i="137"/>
  <c r="Q67" i="137"/>
  <c r="O67" i="137"/>
  <c r="N67" i="137"/>
  <c r="L67" i="137"/>
  <c r="K67" i="137"/>
  <c r="I67" i="137"/>
  <c r="H67" i="137"/>
  <c r="F67" i="137"/>
  <c r="E67" i="137"/>
  <c r="C67" i="137"/>
  <c r="B67" i="137"/>
  <c r="U66" i="137"/>
  <c r="T66" i="137"/>
  <c r="R66" i="137"/>
  <c r="Q66" i="137"/>
  <c r="O66" i="137"/>
  <c r="N66" i="137"/>
  <c r="L66" i="137"/>
  <c r="K66" i="137"/>
  <c r="I66" i="137"/>
  <c r="H66" i="137"/>
  <c r="F66" i="137"/>
  <c r="E66" i="137"/>
  <c r="C66" i="137"/>
  <c r="B66" i="137"/>
  <c r="U65" i="137"/>
  <c r="T65" i="137"/>
  <c r="R65" i="137"/>
  <c r="Q65" i="137"/>
  <c r="O65" i="137"/>
  <c r="N65" i="137"/>
  <c r="L65" i="137"/>
  <c r="K65" i="137"/>
  <c r="I65" i="137"/>
  <c r="H65" i="137"/>
  <c r="F65" i="137"/>
  <c r="E65" i="137"/>
  <c r="C65" i="137"/>
  <c r="B65" i="137"/>
  <c r="U64" i="137"/>
  <c r="T64" i="137"/>
  <c r="R64" i="137"/>
  <c r="Q64" i="137"/>
  <c r="O64" i="137"/>
  <c r="N64" i="137"/>
  <c r="L64" i="137"/>
  <c r="K64" i="137"/>
  <c r="I64" i="137"/>
  <c r="H64" i="137"/>
  <c r="F64" i="137"/>
  <c r="E64" i="137"/>
  <c r="C64" i="137"/>
  <c r="B64" i="137"/>
  <c r="U63" i="137"/>
  <c r="T63" i="137"/>
  <c r="R63" i="137"/>
  <c r="Q63" i="137"/>
  <c r="O63" i="137"/>
  <c r="N63" i="137"/>
  <c r="L63" i="137"/>
  <c r="K63" i="137"/>
  <c r="I63" i="137"/>
  <c r="H63" i="137"/>
  <c r="F63" i="137"/>
  <c r="E63" i="137"/>
  <c r="C63" i="137"/>
  <c r="B63" i="137"/>
  <c r="U62" i="137"/>
  <c r="T62" i="137"/>
  <c r="R62" i="137"/>
  <c r="Q62" i="137"/>
  <c r="O62" i="137"/>
  <c r="N62" i="137"/>
  <c r="L62" i="137"/>
  <c r="K62" i="137"/>
  <c r="I62" i="137"/>
  <c r="H62" i="137"/>
  <c r="F62" i="137"/>
  <c r="E62" i="137"/>
  <c r="C62" i="137"/>
  <c r="B62" i="137"/>
  <c r="U61" i="137"/>
  <c r="T61" i="137"/>
  <c r="R61" i="137"/>
  <c r="Q61" i="137"/>
  <c r="O61" i="137"/>
  <c r="N61" i="137"/>
  <c r="L61" i="137"/>
  <c r="K61" i="137"/>
  <c r="I61" i="137"/>
  <c r="H61" i="137"/>
  <c r="F61" i="137"/>
  <c r="E61" i="137"/>
  <c r="C61" i="137"/>
  <c r="B61" i="137"/>
  <c r="U60" i="137"/>
  <c r="T60" i="137"/>
  <c r="R60" i="137"/>
  <c r="Q60" i="137"/>
  <c r="O60" i="137"/>
  <c r="N60" i="137"/>
  <c r="L60" i="137"/>
  <c r="K60" i="137"/>
  <c r="I60" i="137"/>
  <c r="H60" i="137"/>
  <c r="F60" i="137"/>
  <c r="E60" i="137"/>
  <c r="C60" i="137"/>
  <c r="B60" i="137"/>
  <c r="U59" i="137"/>
  <c r="T59" i="137"/>
  <c r="R59" i="137"/>
  <c r="Q59" i="137"/>
  <c r="O59" i="137"/>
  <c r="N59" i="137"/>
  <c r="L59" i="137"/>
  <c r="K59" i="137"/>
  <c r="I59" i="137"/>
  <c r="H59" i="137"/>
  <c r="F59" i="137"/>
  <c r="E59" i="137"/>
  <c r="C59" i="137"/>
  <c r="B59" i="137"/>
  <c r="U58" i="137"/>
  <c r="T58" i="137"/>
  <c r="R58" i="137"/>
  <c r="Q58" i="137"/>
  <c r="O58" i="137"/>
  <c r="N58" i="137"/>
  <c r="L58" i="137"/>
  <c r="K58" i="137"/>
  <c r="I58" i="137"/>
  <c r="H58" i="137"/>
  <c r="F58" i="137"/>
  <c r="E58" i="137"/>
  <c r="C58" i="137"/>
  <c r="B58" i="137"/>
  <c r="U57" i="137"/>
  <c r="R57" i="137"/>
  <c r="O57" i="137"/>
  <c r="L57" i="137"/>
  <c r="I57" i="137"/>
  <c r="F57" i="137"/>
  <c r="S52" i="137"/>
  <c r="P52" i="137"/>
  <c r="M52" i="137"/>
  <c r="J52" i="137"/>
  <c r="G52" i="137"/>
  <c r="D52" i="137"/>
  <c r="S51" i="137"/>
  <c r="P51" i="137"/>
  <c r="M51" i="137"/>
  <c r="J51" i="137"/>
  <c r="G51" i="137"/>
  <c r="D51" i="137"/>
  <c r="U50" i="137"/>
  <c r="T50" i="137"/>
  <c r="R50" i="137"/>
  <c r="Q50" i="137"/>
  <c r="O50" i="137"/>
  <c r="N50" i="137"/>
  <c r="L50" i="137"/>
  <c r="K50" i="137"/>
  <c r="I50" i="137"/>
  <c r="H50" i="137"/>
  <c r="F50" i="137"/>
  <c r="E50" i="137"/>
  <c r="C50" i="137"/>
  <c r="B50" i="137"/>
  <c r="U49" i="137"/>
  <c r="T49" i="137"/>
  <c r="R49" i="137"/>
  <c r="Q49" i="137"/>
  <c r="O49" i="137"/>
  <c r="N49" i="137"/>
  <c r="L49" i="137"/>
  <c r="K49" i="137"/>
  <c r="I49" i="137"/>
  <c r="H49" i="137"/>
  <c r="F49" i="137"/>
  <c r="E49" i="137"/>
  <c r="C49" i="137"/>
  <c r="B49" i="137"/>
  <c r="U48" i="137"/>
  <c r="T48" i="137"/>
  <c r="R48" i="137"/>
  <c r="Q48" i="137"/>
  <c r="O48" i="137"/>
  <c r="N48" i="137"/>
  <c r="L48" i="137"/>
  <c r="K48" i="137"/>
  <c r="I48" i="137"/>
  <c r="H48" i="137"/>
  <c r="F48" i="137"/>
  <c r="E48" i="137"/>
  <c r="C48" i="137"/>
  <c r="B48" i="137"/>
  <c r="U47" i="137"/>
  <c r="T47" i="137"/>
  <c r="R47" i="137"/>
  <c r="Q47" i="137"/>
  <c r="O47" i="137"/>
  <c r="N47" i="137"/>
  <c r="L47" i="137"/>
  <c r="K47" i="137"/>
  <c r="I47" i="137"/>
  <c r="H47" i="137"/>
  <c r="F47" i="137"/>
  <c r="E47" i="137"/>
  <c r="C47" i="137"/>
  <c r="B47" i="137"/>
  <c r="U46" i="137"/>
  <c r="T46" i="137"/>
  <c r="R46" i="137"/>
  <c r="Q46" i="137"/>
  <c r="O46" i="137"/>
  <c r="N46" i="137"/>
  <c r="L46" i="137"/>
  <c r="K46" i="137"/>
  <c r="I46" i="137"/>
  <c r="H46" i="137"/>
  <c r="F46" i="137"/>
  <c r="E46" i="137"/>
  <c r="C46" i="137"/>
  <c r="B46" i="137"/>
  <c r="U45" i="137"/>
  <c r="T45" i="137"/>
  <c r="R45" i="137"/>
  <c r="Q45" i="137"/>
  <c r="O45" i="137"/>
  <c r="N45" i="137"/>
  <c r="L45" i="137"/>
  <c r="K45" i="137"/>
  <c r="I45" i="137"/>
  <c r="H45" i="137"/>
  <c r="F45" i="137"/>
  <c r="E45" i="137"/>
  <c r="C45" i="137"/>
  <c r="B45" i="137"/>
  <c r="U44" i="137"/>
  <c r="T44" i="137"/>
  <c r="R44" i="137"/>
  <c r="Q44" i="137"/>
  <c r="O44" i="137"/>
  <c r="N44" i="137"/>
  <c r="L44" i="137"/>
  <c r="K44" i="137"/>
  <c r="I44" i="137"/>
  <c r="H44" i="137"/>
  <c r="F44" i="137"/>
  <c r="E44" i="137"/>
  <c r="C44" i="137"/>
  <c r="B44" i="137"/>
  <c r="U43" i="137"/>
  <c r="T43" i="137"/>
  <c r="R43" i="137"/>
  <c r="Q43" i="137"/>
  <c r="O43" i="137"/>
  <c r="N43" i="137"/>
  <c r="L43" i="137"/>
  <c r="K43" i="137"/>
  <c r="I43" i="137"/>
  <c r="H43" i="137"/>
  <c r="F43" i="137"/>
  <c r="E43" i="137"/>
  <c r="C43" i="137"/>
  <c r="B43" i="137"/>
  <c r="U42" i="137"/>
  <c r="T42" i="137"/>
  <c r="R42" i="137"/>
  <c r="Q42" i="137"/>
  <c r="O42" i="137"/>
  <c r="N42" i="137"/>
  <c r="L42" i="137"/>
  <c r="K42" i="137"/>
  <c r="I42" i="137"/>
  <c r="H42" i="137"/>
  <c r="F42" i="137"/>
  <c r="E42" i="137"/>
  <c r="C42" i="137"/>
  <c r="B42" i="137"/>
  <c r="U41" i="137"/>
  <c r="T41" i="137"/>
  <c r="R41" i="137"/>
  <c r="Q41" i="137"/>
  <c r="O41" i="137"/>
  <c r="N41" i="137"/>
  <c r="L41" i="137"/>
  <c r="K41" i="137"/>
  <c r="I41" i="137"/>
  <c r="H41" i="137"/>
  <c r="F41" i="137"/>
  <c r="E41" i="137"/>
  <c r="C41" i="137"/>
  <c r="B41" i="137"/>
  <c r="U40" i="137"/>
  <c r="R40" i="137"/>
  <c r="O40" i="137"/>
  <c r="L40" i="137"/>
  <c r="I40" i="137"/>
  <c r="F40" i="137"/>
  <c r="S35" i="137"/>
  <c r="P35" i="137"/>
  <c r="M35" i="137"/>
  <c r="J35" i="137"/>
  <c r="G35" i="137"/>
  <c r="D35" i="137"/>
  <c r="S34" i="137"/>
  <c r="P34" i="137"/>
  <c r="M34" i="137"/>
  <c r="J34" i="137"/>
  <c r="G34" i="137"/>
  <c r="D34" i="137"/>
  <c r="U33" i="137"/>
  <c r="T33" i="137"/>
  <c r="R33" i="137"/>
  <c r="Q33" i="137"/>
  <c r="O33" i="137"/>
  <c r="N33" i="137"/>
  <c r="L33" i="137"/>
  <c r="K33" i="137"/>
  <c r="I33" i="137"/>
  <c r="H33" i="137"/>
  <c r="F33" i="137"/>
  <c r="E33" i="137"/>
  <c r="C33" i="137"/>
  <c r="B33" i="137"/>
  <c r="U32" i="137"/>
  <c r="T32" i="137"/>
  <c r="R32" i="137"/>
  <c r="Q32" i="137"/>
  <c r="O32" i="137"/>
  <c r="N32" i="137"/>
  <c r="L32" i="137"/>
  <c r="K32" i="137"/>
  <c r="I32" i="137"/>
  <c r="H32" i="137"/>
  <c r="F32" i="137"/>
  <c r="E32" i="137"/>
  <c r="C32" i="137"/>
  <c r="B32" i="137"/>
  <c r="U31" i="137"/>
  <c r="T31" i="137"/>
  <c r="R31" i="137"/>
  <c r="Q31" i="137"/>
  <c r="O31" i="137"/>
  <c r="N31" i="137"/>
  <c r="L31" i="137"/>
  <c r="I31" i="137"/>
  <c r="F31" i="137"/>
  <c r="C31" i="137"/>
  <c r="B31" i="137"/>
  <c r="U30" i="137"/>
  <c r="T30" i="137"/>
  <c r="R30" i="137"/>
  <c r="Q30" i="137"/>
  <c r="O30" i="137"/>
  <c r="N30" i="137"/>
  <c r="L30" i="137"/>
  <c r="I30" i="137"/>
  <c r="F30" i="137"/>
  <c r="C30" i="137"/>
  <c r="B30" i="137"/>
  <c r="U29" i="137"/>
  <c r="T29" i="137"/>
  <c r="R29" i="137"/>
  <c r="Q29" i="137"/>
  <c r="O29" i="137"/>
  <c r="N29" i="137"/>
  <c r="L29" i="137"/>
  <c r="I29" i="137"/>
  <c r="F29" i="137"/>
  <c r="C29" i="137"/>
  <c r="B29" i="137"/>
  <c r="U28" i="137"/>
  <c r="T28" i="137"/>
  <c r="R28" i="137"/>
  <c r="Q28" i="137"/>
  <c r="O28" i="137"/>
  <c r="N28" i="137"/>
  <c r="L28" i="137"/>
  <c r="I28" i="137"/>
  <c r="F28" i="137"/>
  <c r="C28" i="137"/>
  <c r="B28" i="137"/>
  <c r="U27" i="137"/>
  <c r="T27" i="137"/>
  <c r="R27" i="137"/>
  <c r="Q27" i="137"/>
  <c r="O27" i="137"/>
  <c r="N27" i="137"/>
  <c r="L27" i="137"/>
  <c r="I27" i="137"/>
  <c r="F27" i="137"/>
  <c r="C27" i="137"/>
  <c r="B27" i="137"/>
  <c r="U26" i="137"/>
  <c r="T26" i="137"/>
  <c r="R26" i="137"/>
  <c r="Q26" i="137"/>
  <c r="O26" i="137"/>
  <c r="N26" i="137"/>
  <c r="L26" i="137"/>
  <c r="I26" i="137"/>
  <c r="F26" i="137"/>
  <c r="C26" i="137"/>
  <c r="B26" i="137"/>
  <c r="U25" i="137"/>
  <c r="T25" i="137"/>
  <c r="R25" i="137"/>
  <c r="Q25" i="137"/>
  <c r="O25" i="137"/>
  <c r="N25" i="137"/>
  <c r="L25" i="137"/>
  <c r="I25" i="137"/>
  <c r="F25" i="137"/>
  <c r="C25" i="137"/>
  <c r="B25" i="137"/>
  <c r="U24" i="137"/>
  <c r="T24" i="137"/>
  <c r="R24" i="137"/>
  <c r="Q24" i="137"/>
  <c r="O24" i="137"/>
  <c r="N24" i="137"/>
  <c r="L24" i="137"/>
  <c r="I24" i="137"/>
  <c r="F24" i="137"/>
  <c r="C24" i="137"/>
  <c r="B24" i="137"/>
  <c r="U23" i="137"/>
  <c r="R23" i="137"/>
  <c r="O23" i="137"/>
  <c r="L23" i="137"/>
  <c r="I23" i="137"/>
  <c r="F23" i="137"/>
  <c r="S19" i="137"/>
  <c r="P19" i="137"/>
  <c r="R14" i="137" s="1"/>
  <c r="M19" i="137"/>
  <c r="J19" i="137"/>
  <c r="L8" i="137" s="1"/>
  <c r="G19" i="137"/>
  <c r="D19" i="137"/>
  <c r="S18" i="137"/>
  <c r="P18" i="137"/>
  <c r="M18" i="137"/>
  <c r="O10" i="137" s="1"/>
  <c r="J18" i="137"/>
  <c r="G18" i="137"/>
  <c r="D18" i="137"/>
  <c r="F11" i="137" s="1"/>
  <c r="U17" i="137"/>
  <c r="T17" i="137"/>
  <c r="R17" i="137"/>
  <c r="Q17" i="137"/>
  <c r="O17" i="137"/>
  <c r="N17" i="137"/>
  <c r="L17" i="137"/>
  <c r="K17" i="137"/>
  <c r="I17" i="137"/>
  <c r="H17" i="137"/>
  <c r="D102" i="137" s="1"/>
  <c r="F17" i="137"/>
  <c r="E17" i="137"/>
  <c r="D117" i="137" s="1"/>
  <c r="E117" i="137" s="1"/>
  <c r="U16" i="137"/>
  <c r="T16" i="137"/>
  <c r="R16" i="137"/>
  <c r="Q16" i="137"/>
  <c r="O16" i="137"/>
  <c r="N16" i="137"/>
  <c r="D101" i="137" s="1"/>
  <c r="L16" i="137"/>
  <c r="K16" i="137"/>
  <c r="I16" i="137"/>
  <c r="H16" i="137"/>
  <c r="F16" i="137"/>
  <c r="E16" i="137"/>
  <c r="D116" i="137" s="1"/>
  <c r="T15" i="137"/>
  <c r="Q15" i="137"/>
  <c r="N15" i="137"/>
  <c r="K15" i="137"/>
  <c r="H15" i="137"/>
  <c r="E15" i="137"/>
  <c r="T14" i="137"/>
  <c r="Q14" i="137"/>
  <c r="N14" i="137"/>
  <c r="L14" i="137"/>
  <c r="K14" i="137"/>
  <c r="H14" i="137"/>
  <c r="E14" i="137"/>
  <c r="T13" i="137"/>
  <c r="Q13" i="137"/>
  <c r="N13" i="137"/>
  <c r="L13" i="137"/>
  <c r="K13" i="137"/>
  <c r="H13" i="137"/>
  <c r="E13" i="137"/>
  <c r="T12" i="137"/>
  <c r="Q12" i="137"/>
  <c r="N12" i="137"/>
  <c r="L12" i="137"/>
  <c r="K12" i="137"/>
  <c r="H12" i="137"/>
  <c r="E12" i="137"/>
  <c r="T11" i="137"/>
  <c r="Q11" i="137"/>
  <c r="N11" i="137"/>
  <c r="K11" i="137"/>
  <c r="H11" i="137"/>
  <c r="E11" i="137"/>
  <c r="T10" i="137"/>
  <c r="Q10" i="137"/>
  <c r="N10" i="137"/>
  <c r="L10" i="137"/>
  <c r="K10" i="137"/>
  <c r="H10" i="137"/>
  <c r="E10" i="137"/>
  <c r="T9" i="137"/>
  <c r="Q9" i="137"/>
  <c r="N9" i="137"/>
  <c r="L9" i="137"/>
  <c r="K9" i="137"/>
  <c r="H9" i="137"/>
  <c r="F9" i="137"/>
  <c r="E9" i="137"/>
  <c r="T8" i="137"/>
  <c r="Q8" i="137"/>
  <c r="N8" i="137"/>
  <c r="K8" i="137"/>
  <c r="H8" i="137"/>
  <c r="E8" i="137"/>
  <c r="U7" i="137"/>
  <c r="R7" i="137"/>
  <c r="O7" i="137"/>
  <c r="L7" i="137"/>
  <c r="L15" i="137" s="1"/>
  <c r="I7" i="137"/>
  <c r="E92" i="137" s="1"/>
  <c r="E138" i="137" s="1"/>
  <c r="F7" i="137"/>
  <c r="E107" i="137" s="1"/>
  <c r="C148" i="136"/>
  <c r="B148" i="136"/>
  <c r="A148" i="136"/>
  <c r="C147" i="136"/>
  <c r="B147" i="136"/>
  <c r="A147" i="136"/>
  <c r="C146" i="136"/>
  <c r="B146" i="136"/>
  <c r="A146" i="136"/>
  <c r="C145" i="136"/>
  <c r="B145" i="136"/>
  <c r="A145" i="136"/>
  <c r="C144" i="136"/>
  <c r="B144" i="136"/>
  <c r="A144" i="136"/>
  <c r="C143" i="136"/>
  <c r="B143" i="136"/>
  <c r="A143" i="136"/>
  <c r="C142" i="136"/>
  <c r="B142" i="136"/>
  <c r="A142" i="136"/>
  <c r="C141" i="136"/>
  <c r="B141" i="136"/>
  <c r="A141" i="136"/>
  <c r="C140" i="136"/>
  <c r="B140" i="136"/>
  <c r="A140" i="136"/>
  <c r="C139" i="136"/>
  <c r="B139" i="136"/>
  <c r="A139" i="136"/>
  <c r="B132" i="136"/>
  <c r="C132" i="136" s="1"/>
  <c r="B124" i="136"/>
  <c r="B128" i="136" s="1"/>
  <c r="C128" i="136" s="1"/>
  <c r="C117" i="136"/>
  <c r="B117" i="136"/>
  <c r="A117" i="136"/>
  <c r="C116" i="136"/>
  <c r="B116" i="136"/>
  <c r="A116" i="136"/>
  <c r="M115" i="136"/>
  <c r="L115" i="136"/>
  <c r="J115" i="136"/>
  <c r="I115" i="136"/>
  <c r="C115" i="136"/>
  <c r="B115" i="136"/>
  <c r="A115" i="136"/>
  <c r="S114" i="136"/>
  <c r="T114" i="136" s="1"/>
  <c r="Q114" i="136"/>
  <c r="O114" i="136"/>
  <c r="L114" i="136"/>
  <c r="M114" i="136" s="1"/>
  <c r="J114" i="136"/>
  <c r="I114" i="136"/>
  <c r="C114" i="136"/>
  <c r="B114" i="136"/>
  <c r="A114" i="136"/>
  <c r="S113" i="136"/>
  <c r="T113" i="136" s="1"/>
  <c r="Q113" i="136"/>
  <c r="O113" i="136"/>
  <c r="C113" i="136"/>
  <c r="B113" i="136"/>
  <c r="A113" i="136"/>
  <c r="T112" i="136"/>
  <c r="S112" i="136"/>
  <c r="Q112" i="136"/>
  <c r="O112" i="136"/>
  <c r="C112" i="136"/>
  <c r="B112" i="136"/>
  <c r="A112" i="136"/>
  <c r="S111" i="136"/>
  <c r="T111" i="136" s="1"/>
  <c r="Q111" i="136"/>
  <c r="P111" i="136"/>
  <c r="G115" i="136" s="1"/>
  <c r="O111" i="136"/>
  <c r="C111" i="136"/>
  <c r="B111" i="136"/>
  <c r="A111" i="136"/>
  <c r="S110" i="136"/>
  <c r="T110" i="136" s="1"/>
  <c r="Q110" i="136"/>
  <c r="O110" i="136"/>
  <c r="C110" i="136"/>
  <c r="B110" i="136"/>
  <c r="A110" i="136"/>
  <c r="T109" i="136"/>
  <c r="S109" i="136"/>
  <c r="Q109" i="136"/>
  <c r="O109" i="136"/>
  <c r="L109" i="136"/>
  <c r="M109" i="136" s="1"/>
  <c r="J109" i="136"/>
  <c r="I109" i="136"/>
  <c r="C109" i="136"/>
  <c r="B109" i="136"/>
  <c r="A109" i="136"/>
  <c r="T108" i="136"/>
  <c r="S108" i="136"/>
  <c r="Q108" i="136"/>
  <c r="O108" i="136"/>
  <c r="M108" i="136"/>
  <c r="L108" i="136"/>
  <c r="J108" i="136"/>
  <c r="I108" i="136"/>
  <c r="C108" i="136"/>
  <c r="B108" i="136"/>
  <c r="A108" i="136"/>
  <c r="D107" i="136"/>
  <c r="C102" i="136"/>
  <c r="B102" i="136"/>
  <c r="A102" i="136"/>
  <c r="C101" i="136"/>
  <c r="B101" i="136"/>
  <c r="A101" i="136"/>
  <c r="C100" i="136"/>
  <c r="B100" i="136"/>
  <c r="A100" i="136"/>
  <c r="C99" i="136"/>
  <c r="B99" i="136"/>
  <c r="A99" i="136"/>
  <c r="C98" i="136"/>
  <c r="B98" i="136"/>
  <c r="A98" i="136"/>
  <c r="C97" i="136"/>
  <c r="B97" i="136"/>
  <c r="A97" i="136"/>
  <c r="C96" i="136"/>
  <c r="B96" i="136"/>
  <c r="A96" i="136"/>
  <c r="C95" i="136"/>
  <c r="B95" i="136"/>
  <c r="A95" i="136"/>
  <c r="C94" i="136"/>
  <c r="B94" i="136"/>
  <c r="A94" i="136"/>
  <c r="C93" i="136"/>
  <c r="B93" i="136"/>
  <c r="A93" i="136"/>
  <c r="D92" i="136"/>
  <c r="D138" i="136" s="1"/>
  <c r="S86" i="136"/>
  <c r="P86" i="136"/>
  <c r="M86" i="136"/>
  <c r="J86" i="136"/>
  <c r="G86" i="136"/>
  <c r="D86" i="136"/>
  <c r="S85" i="136"/>
  <c r="P85" i="136"/>
  <c r="M85" i="136"/>
  <c r="J85" i="136"/>
  <c r="G85" i="136"/>
  <c r="D85" i="136"/>
  <c r="U84" i="136"/>
  <c r="T84" i="136"/>
  <c r="R84" i="136"/>
  <c r="Q84" i="136"/>
  <c r="O84" i="136"/>
  <c r="N84" i="136"/>
  <c r="L84" i="136"/>
  <c r="K84" i="136"/>
  <c r="I84" i="136"/>
  <c r="H84" i="136"/>
  <c r="F84" i="136"/>
  <c r="E84" i="136"/>
  <c r="C84" i="136"/>
  <c r="B84" i="136"/>
  <c r="A84" i="136"/>
  <c r="U83" i="136"/>
  <c r="T83" i="136"/>
  <c r="R83" i="136"/>
  <c r="Q83" i="136"/>
  <c r="O83" i="136"/>
  <c r="N83" i="136"/>
  <c r="L83" i="136"/>
  <c r="K83" i="136"/>
  <c r="I83" i="136"/>
  <c r="H83" i="136"/>
  <c r="F83" i="136"/>
  <c r="E83" i="136"/>
  <c r="C83" i="136"/>
  <c r="B83" i="136"/>
  <c r="A83" i="136"/>
  <c r="U82" i="136"/>
  <c r="T82" i="136"/>
  <c r="R82" i="136"/>
  <c r="Q82" i="136"/>
  <c r="O82" i="136"/>
  <c r="N82" i="136"/>
  <c r="L82" i="136"/>
  <c r="K82" i="136"/>
  <c r="I82" i="136"/>
  <c r="H82" i="136"/>
  <c r="F82" i="136"/>
  <c r="E82" i="136"/>
  <c r="C82" i="136"/>
  <c r="B82" i="136"/>
  <c r="A82" i="136"/>
  <c r="U81" i="136"/>
  <c r="T81" i="136"/>
  <c r="R81" i="136"/>
  <c r="Q81" i="136"/>
  <c r="O81" i="136"/>
  <c r="N81" i="136"/>
  <c r="L81" i="136"/>
  <c r="K81" i="136"/>
  <c r="I81" i="136"/>
  <c r="H81" i="136"/>
  <c r="F81" i="136"/>
  <c r="E81" i="136"/>
  <c r="C81" i="136"/>
  <c r="B81" i="136"/>
  <c r="A81" i="136"/>
  <c r="U80" i="136"/>
  <c r="T80" i="136"/>
  <c r="R80" i="136"/>
  <c r="Q80" i="136"/>
  <c r="O80" i="136"/>
  <c r="N80" i="136"/>
  <c r="L80" i="136"/>
  <c r="K80" i="136"/>
  <c r="I80" i="136"/>
  <c r="H80" i="136"/>
  <c r="F80" i="136"/>
  <c r="E80" i="136"/>
  <c r="C80" i="136"/>
  <c r="B80" i="136"/>
  <c r="A80" i="136"/>
  <c r="U79" i="136"/>
  <c r="T79" i="136"/>
  <c r="R79" i="136"/>
  <c r="Q79" i="136"/>
  <c r="O79" i="136"/>
  <c r="N79" i="136"/>
  <c r="L79" i="136"/>
  <c r="K79" i="136"/>
  <c r="I79" i="136"/>
  <c r="H79" i="136"/>
  <c r="F79" i="136"/>
  <c r="E79" i="136"/>
  <c r="C79" i="136"/>
  <c r="B79" i="136"/>
  <c r="A79" i="136"/>
  <c r="U78" i="136"/>
  <c r="T78" i="136"/>
  <c r="R78" i="136"/>
  <c r="Q78" i="136"/>
  <c r="O78" i="136"/>
  <c r="N78" i="136"/>
  <c r="L78" i="136"/>
  <c r="K78" i="136"/>
  <c r="I78" i="136"/>
  <c r="H78" i="136"/>
  <c r="F78" i="136"/>
  <c r="E78" i="136"/>
  <c r="C78" i="136"/>
  <c r="B78" i="136"/>
  <c r="A78" i="136"/>
  <c r="U77" i="136"/>
  <c r="T77" i="136"/>
  <c r="R77" i="136"/>
  <c r="Q77" i="136"/>
  <c r="O77" i="136"/>
  <c r="N77" i="136"/>
  <c r="L77" i="136"/>
  <c r="K77" i="136"/>
  <c r="I77" i="136"/>
  <c r="H77" i="136"/>
  <c r="F77" i="136"/>
  <c r="E77" i="136"/>
  <c r="C77" i="136"/>
  <c r="B77" i="136"/>
  <c r="A77" i="136"/>
  <c r="U76" i="136"/>
  <c r="T76" i="136"/>
  <c r="R76" i="136"/>
  <c r="Q76" i="136"/>
  <c r="O76" i="136"/>
  <c r="N76" i="136"/>
  <c r="L76" i="136"/>
  <c r="K76" i="136"/>
  <c r="I76" i="136"/>
  <c r="H76" i="136"/>
  <c r="F76" i="136"/>
  <c r="E76" i="136"/>
  <c r="C76" i="136"/>
  <c r="B76" i="136"/>
  <c r="A76" i="136"/>
  <c r="U75" i="136"/>
  <c r="T75" i="136"/>
  <c r="R75" i="136"/>
  <c r="Q75" i="136"/>
  <c r="O75" i="136"/>
  <c r="N75" i="136"/>
  <c r="L75" i="136"/>
  <c r="K75" i="136"/>
  <c r="I75" i="136"/>
  <c r="H75" i="136"/>
  <c r="F75" i="136"/>
  <c r="E75" i="136"/>
  <c r="C75" i="136"/>
  <c r="B75" i="136"/>
  <c r="A75" i="136"/>
  <c r="U74" i="136"/>
  <c r="R74" i="136"/>
  <c r="O74" i="136"/>
  <c r="L74" i="136"/>
  <c r="I74" i="136"/>
  <c r="F74" i="136"/>
  <c r="S69" i="136"/>
  <c r="P69" i="136"/>
  <c r="M69" i="136"/>
  <c r="J69" i="136"/>
  <c r="G69" i="136"/>
  <c r="D69" i="136"/>
  <c r="S68" i="136"/>
  <c r="P68" i="136"/>
  <c r="M68" i="136"/>
  <c r="J68" i="136"/>
  <c r="G68" i="136"/>
  <c r="D68" i="136"/>
  <c r="U67" i="136"/>
  <c r="T67" i="136"/>
  <c r="R67" i="136"/>
  <c r="Q67" i="136"/>
  <c r="O67" i="136"/>
  <c r="N67" i="136"/>
  <c r="L67" i="136"/>
  <c r="K67" i="136"/>
  <c r="I67" i="136"/>
  <c r="H67" i="136"/>
  <c r="F67" i="136"/>
  <c r="E67" i="136"/>
  <c r="C67" i="136"/>
  <c r="B67" i="136"/>
  <c r="U66" i="136"/>
  <c r="T66" i="136"/>
  <c r="R66" i="136"/>
  <c r="Q66" i="136"/>
  <c r="O66" i="136"/>
  <c r="N66" i="136"/>
  <c r="L66" i="136"/>
  <c r="K66" i="136"/>
  <c r="I66" i="136"/>
  <c r="H66" i="136"/>
  <c r="F66" i="136"/>
  <c r="E66" i="136"/>
  <c r="C66" i="136"/>
  <c r="B66" i="136"/>
  <c r="U65" i="136"/>
  <c r="T65" i="136"/>
  <c r="R65" i="136"/>
  <c r="Q65" i="136"/>
  <c r="O65" i="136"/>
  <c r="N65" i="136"/>
  <c r="L65" i="136"/>
  <c r="K65" i="136"/>
  <c r="I65" i="136"/>
  <c r="H65" i="136"/>
  <c r="F65" i="136"/>
  <c r="E65" i="136"/>
  <c r="C65" i="136"/>
  <c r="B65" i="136"/>
  <c r="U64" i="136"/>
  <c r="T64" i="136"/>
  <c r="R64" i="136"/>
  <c r="Q64" i="136"/>
  <c r="O64" i="136"/>
  <c r="N64" i="136"/>
  <c r="L64" i="136"/>
  <c r="K64" i="136"/>
  <c r="I64" i="136"/>
  <c r="H64" i="136"/>
  <c r="F64" i="136"/>
  <c r="E64" i="136"/>
  <c r="C64" i="136"/>
  <c r="B64" i="136"/>
  <c r="U63" i="136"/>
  <c r="T63" i="136"/>
  <c r="R63" i="136"/>
  <c r="Q63" i="136"/>
  <c r="O63" i="136"/>
  <c r="N63" i="136"/>
  <c r="L63" i="136"/>
  <c r="K63" i="136"/>
  <c r="I63" i="136"/>
  <c r="H63" i="136"/>
  <c r="F63" i="136"/>
  <c r="E63" i="136"/>
  <c r="C63" i="136"/>
  <c r="B63" i="136"/>
  <c r="U62" i="136"/>
  <c r="T62" i="136"/>
  <c r="R62" i="136"/>
  <c r="Q62" i="136"/>
  <c r="O62" i="136"/>
  <c r="N62" i="136"/>
  <c r="L62" i="136"/>
  <c r="K62" i="136"/>
  <c r="I62" i="136"/>
  <c r="H62" i="136"/>
  <c r="F62" i="136"/>
  <c r="E62" i="136"/>
  <c r="C62" i="136"/>
  <c r="B62" i="136"/>
  <c r="U61" i="136"/>
  <c r="T61" i="136"/>
  <c r="R61" i="136"/>
  <c r="Q61" i="136"/>
  <c r="O61" i="136"/>
  <c r="N61" i="136"/>
  <c r="L61" i="136"/>
  <c r="K61" i="136"/>
  <c r="I61" i="136"/>
  <c r="H61" i="136"/>
  <c r="F61" i="136"/>
  <c r="E61" i="136"/>
  <c r="C61" i="136"/>
  <c r="B61" i="136"/>
  <c r="U60" i="136"/>
  <c r="T60" i="136"/>
  <c r="R60" i="136"/>
  <c r="Q60" i="136"/>
  <c r="O60" i="136"/>
  <c r="N60" i="136"/>
  <c r="L60" i="136"/>
  <c r="K60" i="136"/>
  <c r="I60" i="136"/>
  <c r="H60" i="136"/>
  <c r="F60" i="136"/>
  <c r="E60" i="136"/>
  <c r="C60" i="136"/>
  <c r="B60" i="136"/>
  <c r="U59" i="136"/>
  <c r="T59" i="136"/>
  <c r="R59" i="136"/>
  <c r="Q59" i="136"/>
  <c r="O59" i="136"/>
  <c r="N59" i="136"/>
  <c r="L59" i="136"/>
  <c r="K59" i="136"/>
  <c r="I59" i="136"/>
  <c r="H59" i="136"/>
  <c r="F59" i="136"/>
  <c r="E59" i="136"/>
  <c r="C59" i="136"/>
  <c r="B59" i="136"/>
  <c r="U58" i="136"/>
  <c r="T58" i="136"/>
  <c r="R58" i="136"/>
  <c r="Q58" i="136"/>
  <c r="O58" i="136"/>
  <c r="N58" i="136"/>
  <c r="L58" i="136"/>
  <c r="K58" i="136"/>
  <c r="I58" i="136"/>
  <c r="H58" i="136"/>
  <c r="F58" i="136"/>
  <c r="E58" i="136"/>
  <c r="C58" i="136"/>
  <c r="B58" i="136"/>
  <c r="U57" i="136"/>
  <c r="R57" i="136"/>
  <c r="O57" i="136"/>
  <c r="L57" i="136"/>
  <c r="I57" i="136"/>
  <c r="F57" i="136"/>
  <c r="S52" i="136"/>
  <c r="P52" i="136"/>
  <c r="M52" i="136"/>
  <c r="J52" i="136"/>
  <c r="G52" i="136"/>
  <c r="D52" i="136"/>
  <c r="S51" i="136"/>
  <c r="P51" i="136"/>
  <c r="M51" i="136"/>
  <c r="J51" i="136"/>
  <c r="G51" i="136"/>
  <c r="D51" i="136"/>
  <c r="U50" i="136"/>
  <c r="T50" i="136"/>
  <c r="R50" i="136"/>
  <c r="Q50" i="136"/>
  <c r="O50" i="136"/>
  <c r="N50" i="136"/>
  <c r="L50" i="136"/>
  <c r="K50" i="136"/>
  <c r="I50" i="136"/>
  <c r="H50" i="136"/>
  <c r="F50" i="136"/>
  <c r="E50" i="136"/>
  <c r="C50" i="136"/>
  <c r="B50" i="136"/>
  <c r="U49" i="136"/>
  <c r="T49" i="136"/>
  <c r="R49" i="136"/>
  <c r="Q49" i="136"/>
  <c r="O49" i="136"/>
  <c r="N49" i="136"/>
  <c r="L49" i="136"/>
  <c r="K49" i="136"/>
  <c r="I49" i="136"/>
  <c r="H49" i="136"/>
  <c r="F49" i="136"/>
  <c r="E49" i="136"/>
  <c r="C49" i="136"/>
  <c r="B49" i="136"/>
  <c r="U48" i="136"/>
  <c r="T48" i="136"/>
  <c r="R48" i="136"/>
  <c r="Q48" i="136"/>
  <c r="O48" i="136"/>
  <c r="N48" i="136"/>
  <c r="L48" i="136"/>
  <c r="K48" i="136"/>
  <c r="I48" i="136"/>
  <c r="H48" i="136"/>
  <c r="F48" i="136"/>
  <c r="E48" i="136"/>
  <c r="C48" i="136"/>
  <c r="B48" i="136"/>
  <c r="U47" i="136"/>
  <c r="T47" i="136"/>
  <c r="R47" i="136"/>
  <c r="Q47" i="136"/>
  <c r="O47" i="136"/>
  <c r="N47" i="136"/>
  <c r="L47" i="136"/>
  <c r="K47" i="136"/>
  <c r="I47" i="136"/>
  <c r="H47" i="136"/>
  <c r="F47" i="136"/>
  <c r="E47" i="136"/>
  <c r="C47" i="136"/>
  <c r="B47" i="136"/>
  <c r="U46" i="136"/>
  <c r="T46" i="136"/>
  <c r="R46" i="136"/>
  <c r="Q46" i="136"/>
  <c r="O46" i="136"/>
  <c r="N46" i="136"/>
  <c r="L46" i="136"/>
  <c r="K46" i="136"/>
  <c r="I46" i="136"/>
  <c r="H46" i="136"/>
  <c r="F46" i="136"/>
  <c r="E46" i="136"/>
  <c r="C46" i="136"/>
  <c r="B46" i="136"/>
  <c r="U45" i="136"/>
  <c r="T45" i="136"/>
  <c r="R45" i="136"/>
  <c r="Q45" i="136"/>
  <c r="O45" i="136"/>
  <c r="N45" i="136"/>
  <c r="L45" i="136"/>
  <c r="K45" i="136"/>
  <c r="I45" i="136"/>
  <c r="H45" i="136"/>
  <c r="F45" i="136"/>
  <c r="E45" i="136"/>
  <c r="C45" i="136"/>
  <c r="B45" i="136"/>
  <c r="U44" i="136"/>
  <c r="T44" i="136"/>
  <c r="R44" i="136"/>
  <c r="Q44" i="136"/>
  <c r="O44" i="136"/>
  <c r="N44" i="136"/>
  <c r="L44" i="136"/>
  <c r="K44" i="136"/>
  <c r="I44" i="136"/>
  <c r="H44" i="136"/>
  <c r="F44" i="136"/>
  <c r="E44" i="136"/>
  <c r="C44" i="136"/>
  <c r="B44" i="136"/>
  <c r="U43" i="136"/>
  <c r="T43" i="136"/>
  <c r="R43" i="136"/>
  <c r="Q43" i="136"/>
  <c r="O43" i="136"/>
  <c r="N43" i="136"/>
  <c r="L43" i="136"/>
  <c r="K43" i="136"/>
  <c r="I43" i="136"/>
  <c r="H43" i="136"/>
  <c r="F43" i="136"/>
  <c r="E43" i="136"/>
  <c r="C43" i="136"/>
  <c r="B43" i="136"/>
  <c r="U42" i="136"/>
  <c r="T42" i="136"/>
  <c r="R42" i="136"/>
  <c r="Q42" i="136"/>
  <c r="O42" i="136"/>
  <c r="N42" i="136"/>
  <c r="L42" i="136"/>
  <c r="K42" i="136"/>
  <c r="I42" i="136"/>
  <c r="H42" i="136"/>
  <c r="F42" i="136"/>
  <c r="E42" i="136"/>
  <c r="C42" i="136"/>
  <c r="B42" i="136"/>
  <c r="U41" i="136"/>
  <c r="T41" i="136"/>
  <c r="R41" i="136"/>
  <c r="Q41" i="136"/>
  <c r="O41" i="136"/>
  <c r="N41" i="136"/>
  <c r="L41" i="136"/>
  <c r="K41" i="136"/>
  <c r="I41" i="136"/>
  <c r="H41" i="136"/>
  <c r="F41" i="136"/>
  <c r="E41" i="136"/>
  <c r="C41" i="136"/>
  <c r="B41" i="136"/>
  <c r="U40" i="136"/>
  <c r="R40" i="136"/>
  <c r="O40" i="136"/>
  <c r="L40" i="136"/>
  <c r="I40" i="136"/>
  <c r="F40" i="136"/>
  <c r="S35" i="136"/>
  <c r="P35" i="136"/>
  <c r="M35" i="136"/>
  <c r="J35" i="136"/>
  <c r="G35" i="136"/>
  <c r="D35" i="136"/>
  <c r="S34" i="136"/>
  <c r="P34" i="136"/>
  <c r="M34" i="136"/>
  <c r="J34" i="136"/>
  <c r="G34" i="136"/>
  <c r="D34" i="136"/>
  <c r="U33" i="136"/>
  <c r="T33" i="136"/>
  <c r="R33" i="136"/>
  <c r="Q33" i="136"/>
  <c r="O33" i="136"/>
  <c r="N33" i="136"/>
  <c r="L33" i="136"/>
  <c r="K33" i="136"/>
  <c r="I33" i="136"/>
  <c r="H33" i="136"/>
  <c r="F33" i="136"/>
  <c r="E33" i="136"/>
  <c r="C33" i="136"/>
  <c r="B33" i="136"/>
  <c r="U32" i="136"/>
  <c r="T32" i="136"/>
  <c r="R32" i="136"/>
  <c r="Q32" i="136"/>
  <c r="O32" i="136"/>
  <c r="N32" i="136"/>
  <c r="L32" i="136"/>
  <c r="K32" i="136"/>
  <c r="I32" i="136"/>
  <c r="H32" i="136"/>
  <c r="F32" i="136"/>
  <c r="E32" i="136"/>
  <c r="C32" i="136"/>
  <c r="B32" i="136"/>
  <c r="U31" i="136"/>
  <c r="T31" i="136"/>
  <c r="R31" i="136"/>
  <c r="Q31" i="136"/>
  <c r="O31" i="136"/>
  <c r="N31" i="136"/>
  <c r="L31" i="136"/>
  <c r="I31" i="136"/>
  <c r="F31" i="136"/>
  <c r="C31" i="136"/>
  <c r="B31" i="136"/>
  <c r="U30" i="136"/>
  <c r="T30" i="136"/>
  <c r="R30" i="136"/>
  <c r="Q30" i="136"/>
  <c r="O30" i="136"/>
  <c r="N30" i="136"/>
  <c r="L30" i="136"/>
  <c r="I30" i="136"/>
  <c r="F30" i="136"/>
  <c r="C30" i="136"/>
  <c r="B30" i="136"/>
  <c r="U29" i="136"/>
  <c r="T29" i="136"/>
  <c r="R29" i="136"/>
  <c r="Q29" i="136"/>
  <c r="O29" i="136"/>
  <c r="N29" i="136"/>
  <c r="L29" i="136"/>
  <c r="I29" i="136"/>
  <c r="F29" i="136"/>
  <c r="C29" i="136"/>
  <c r="B29" i="136"/>
  <c r="U28" i="136"/>
  <c r="T28" i="136"/>
  <c r="R28" i="136"/>
  <c r="Q28" i="136"/>
  <c r="O28" i="136"/>
  <c r="N28" i="136"/>
  <c r="L28" i="136"/>
  <c r="I28" i="136"/>
  <c r="F28" i="136"/>
  <c r="C28" i="136"/>
  <c r="B28" i="136"/>
  <c r="U27" i="136"/>
  <c r="T27" i="136"/>
  <c r="R27" i="136"/>
  <c r="Q27" i="136"/>
  <c r="O27" i="136"/>
  <c r="N27" i="136"/>
  <c r="L27" i="136"/>
  <c r="I27" i="136"/>
  <c r="F27" i="136"/>
  <c r="C27" i="136"/>
  <c r="B27" i="136"/>
  <c r="U26" i="136"/>
  <c r="T26" i="136"/>
  <c r="R26" i="136"/>
  <c r="Q26" i="136"/>
  <c r="O26" i="136"/>
  <c r="N26" i="136"/>
  <c r="L26" i="136"/>
  <c r="I26" i="136"/>
  <c r="F26" i="136"/>
  <c r="C26" i="136"/>
  <c r="B26" i="136"/>
  <c r="U25" i="136"/>
  <c r="T25" i="136"/>
  <c r="R25" i="136"/>
  <c r="Q25" i="136"/>
  <c r="O25" i="136"/>
  <c r="N25" i="136"/>
  <c r="L25" i="136"/>
  <c r="I25" i="136"/>
  <c r="F25" i="136"/>
  <c r="C25" i="136"/>
  <c r="B25" i="136"/>
  <c r="U24" i="136"/>
  <c r="T24" i="136"/>
  <c r="R24" i="136"/>
  <c r="Q24" i="136"/>
  <c r="O24" i="136"/>
  <c r="N24" i="136"/>
  <c r="L24" i="136"/>
  <c r="I24" i="136"/>
  <c r="F24" i="136"/>
  <c r="C24" i="136"/>
  <c r="B24" i="136"/>
  <c r="U23" i="136"/>
  <c r="R23" i="136"/>
  <c r="O23" i="136"/>
  <c r="L23" i="136"/>
  <c r="I23" i="136"/>
  <c r="F23" i="136"/>
  <c r="S19" i="136"/>
  <c r="P19" i="136"/>
  <c r="R11" i="136" s="1"/>
  <c r="M19" i="136"/>
  <c r="J19" i="136"/>
  <c r="G19" i="136"/>
  <c r="I16" i="136" s="1"/>
  <c r="D19" i="136"/>
  <c r="F13" i="136" s="1"/>
  <c r="S18" i="136"/>
  <c r="U16" i="136" s="1"/>
  <c r="P18" i="136"/>
  <c r="M18" i="136"/>
  <c r="O8" i="136" s="1"/>
  <c r="J18" i="136"/>
  <c r="G18" i="136"/>
  <c r="D18" i="136"/>
  <c r="U17" i="136"/>
  <c r="T17" i="136"/>
  <c r="R17" i="136"/>
  <c r="Q17" i="136"/>
  <c r="O17" i="136"/>
  <c r="N17" i="136"/>
  <c r="L17" i="136"/>
  <c r="K17" i="136"/>
  <c r="I17" i="136"/>
  <c r="H17" i="136"/>
  <c r="D102" i="136" s="1"/>
  <c r="F17" i="136"/>
  <c r="E17" i="136"/>
  <c r="D117" i="136" s="1"/>
  <c r="E117" i="136" s="1"/>
  <c r="T16" i="136"/>
  <c r="Q16" i="136"/>
  <c r="O16" i="136"/>
  <c r="N16" i="136"/>
  <c r="L16" i="136"/>
  <c r="K16" i="136"/>
  <c r="H16" i="136"/>
  <c r="E16" i="136"/>
  <c r="T15" i="136"/>
  <c r="Q15" i="136"/>
  <c r="N15" i="136"/>
  <c r="K15" i="136"/>
  <c r="H15" i="136"/>
  <c r="E15" i="136"/>
  <c r="T14" i="136"/>
  <c r="Q14" i="136"/>
  <c r="N14" i="136"/>
  <c r="L14" i="136"/>
  <c r="K14" i="136"/>
  <c r="H14" i="136"/>
  <c r="E14" i="136"/>
  <c r="T13" i="136"/>
  <c r="Q13" i="136"/>
  <c r="N13" i="136"/>
  <c r="K13" i="136"/>
  <c r="H13" i="136"/>
  <c r="E13" i="136"/>
  <c r="T12" i="136"/>
  <c r="Q12" i="136"/>
  <c r="N12" i="136"/>
  <c r="L12" i="136"/>
  <c r="K12" i="136"/>
  <c r="H12" i="136"/>
  <c r="E12" i="136"/>
  <c r="T11" i="136"/>
  <c r="Q11" i="136"/>
  <c r="N11" i="136"/>
  <c r="K11" i="136"/>
  <c r="H11" i="136"/>
  <c r="E11" i="136"/>
  <c r="T10" i="136"/>
  <c r="Q10" i="136"/>
  <c r="N10" i="136"/>
  <c r="L10" i="136"/>
  <c r="K10" i="136"/>
  <c r="H10" i="136"/>
  <c r="E10" i="136"/>
  <c r="T9" i="136"/>
  <c r="Q9" i="136"/>
  <c r="N9" i="136"/>
  <c r="K9" i="136"/>
  <c r="H9" i="136"/>
  <c r="E9" i="136"/>
  <c r="T8" i="136"/>
  <c r="Q8" i="136"/>
  <c r="N8" i="136"/>
  <c r="K8" i="136"/>
  <c r="H8" i="136"/>
  <c r="E8" i="136"/>
  <c r="U7" i="136"/>
  <c r="R7" i="136"/>
  <c r="O7" i="136"/>
  <c r="L7" i="136"/>
  <c r="L15" i="136" s="1"/>
  <c r="I7" i="136"/>
  <c r="F7" i="136"/>
  <c r="E107" i="136" s="1"/>
  <c r="C148" i="135"/>
  <c r="B148" i="135"/>
  <c r="A148" i="135"/>
  <c r="C147" i="135"/>
  <c r="B147" i="135"/>
  <c r="A147" i="135"/>
  <c r="C146" i="135"/>
  <c r="B146" i="135"/>
  <c r="A146" i="135"/>
  <c r="C145" i="135"/>
  <c r="B145" i="135"/>
  <c r="A145" i="135"/>
  <c r="C144" i="135"/>
  <c r="B144" i="135"/>
  <c r="A144" i="135"/>
  <c r="C143" i="135"/>
  <c r="B143" i="135"/>
  <c r="A143" i="135"/>
  <c r="C142" i="135"/>
  <c r="B142" i="135"/>
  <c r="A142" i="135"/>
  <c r="C141" i="135"/>
  <c r="B141" i="135"/>
  <c r="A141" i="135"/>
  <c r="C140" i="135"/>
  <c r="B140" i="135"/>
  <c r="A140" i="135"/>
  <c r="C139" i="135"/>
  <c r="B139" i="135"/>
  <c r="A139" i="135"/>
  <c r="B132" i="135"/>
  <c r="C132" i="135" s="1"/>
  <c r="B130" i="135"/>
  <c r="C130" i="135" s="1"/>
  <c r="B127" i="135"/>
  <c r="C127" i="135" s="1"/>
  <c r="L113" i="135" s="1"/>
  <c r="C124" i="135"/>
  <c r="L110" i="135" s="1"/>
  <c r="B124" i="135"/>
  <c r="B128" i="135" s="1"/>
  <c r="C128" i="135" s="1"/>
  <c r="C117" i="135"/>
  <c r="B117" i="135"/>
  <c r="A117" i="135"/>
  <c r="C116" i="135"/>
  <c r="B116" i="135"/>
  <c r="A116" i="135"/>
  <c r="M115" i="135"/>
  <c r="L115" i="135"/>
  <c r="J115" i="135"/>
  <c r="I115" i="135"/>
  <c r="C115" i="135"/>
  <c r="B115" i="135"/>
  <c r="A115" i="135"/>
  <c r="S114" i="135"/>
  <c r="T114" i="135" s="1"/>
  <c r="Q114" i="135"/>
  <c r="O114" i="135"/>
  <c r="L114" i="135"/>
  <c r="M114" i="135" s="1"/>
  <c r="J114" i="135"/>
  <c r="I114" i="135"/>
  <c r="C114" i="135"/>
  <c r="B114" i="135"/>
  <c r="A114" i="135"/>
  <c r="S113" i="135"/>
  <c r="T113" i="135" s="1"/>
  <c r="Q113" i="135"/>
  <c r="O113" i="135"/>
  <c r="C113" i="135"/>
  <c r="B113" i="135"/>
  <c r="A113" i="135"/>
  <c r="T112" i="135"/>
  <c r="S112" i="135"/>
  <c r="Q112" i="135"/>
  <c r="O112" i="135"/>
  <c r="C112" i="135"/>
  <c r="B112" i="135"/>
  <c r="A112" i="135"/>
  <c r="S111" i="135"/>
  <c r="T111" i="135" s="1"/>
  <c r="Q111" i="135"/>
  <c r="P111" i="135"/>
  <c r="G109" i="135" s="1"/>
  <c r="O111" i="135"/>
  <c r="C111" i="135"/>
  <c r="B111" i="135"/>
  <c r="A111" i="135"/>
  <c r="S110" i="135"/>
  <c r="T110" i="135" s="1"/>
  <c r="Q110" i="135"/>
  <c r="O110" i="135"/>
  <c r="C110" i="135"/>
  <c r="B110" i="135"/>
  <c r="A110" i="135"/>
  <c r="T109" i="135"/>
  <c r="S109" i="135"/>
  <c r="Q109" i="135"/>
  <c r="O109" i="135"/>
  <c r="L109" i="135"/>
  <c r="M109" i="135" s="1"/>
  <c r="J109" i="135"/>
  <c r="I109" i="135"/>
  <c r="C109" i="135"/>
  <c r="B109" i="135"/>
  <c r="A109" i="135"/>
  <c r="T108" i="135"/>
  <c r="S108" i="135"/>
  <c r="Q108" i="135"/>
  <c r="O108" i="135"/>
  <c r="M108" i="135"/>
  <c r="L108" i="135"/>
  <c r="J108" i="135"/>
  <c r="I108" i="135"/>
  <c r="C108" i="135"/>
  <c r="B108" i="135"/>
  <c r="A108" i="135"/>
  <c r="D107" i="135"/>
  <c r="C102" i="135"/>
  <c r="B102" i="135"/>
  <c r="A102" i="135"/>
  <c r="C101" i="135"/>
  <c r="B101" i="135"/>
  <c r="A101" i="135"/>
  <c r="C100" i="135"/>
  <c r="B100" i="135"/>
  <c r="A100" i="135"/>
  <c r="C99" i="135"/>
  <c r="B99" i="135"/>
  <c r="A99" i="135"/>
  <c r="C98" i="135"/>
  <c r="B98" i="135"/>
  <c r="A98" i="135"/>
  <c r="C97" i="135"/>
  <c r="B97" i="135"/>
  <c r="A97" i="135"/>
  <c r="C96" i="135"/>
  <c r="B96" i="135"/>
  <c r="A96" i="135"/>
  <c r="C95" i="135"/>
  <c r="B95" i="135"/>
  <c r="A95" i="135"/>
  <c r="C94" i="135"/>
  <c r="B94" i="135"/>
  <c r="A94" i="135"/>
  <c r="C93" i="135"/>
  <c r="B93" i="135"/>
  <c r="A93" i="135"/>
  <c r="D92" i="135"/>
  <c r="D138" i="135" s="1"/>
  <c r="S86" i="135"/>
  <c r="P86" i="135"/>
  <c r="M86" i="135"/>
  <c r="J86" i="135"/>
  <c r="G86" i="135"/>
  <c r="D86" i="135"/>
  <c r="S85" i="135"/>
  <c r="P85" i="135"/>
  <c r="M85" i="135"/>
  <c r="J85" i="135"/>
  <c r="G85" i="135"/>
  <c r="D85" i="135"/>
  <c r="U84" i="135"/>
  <c r="T84" i="135"/>
  <c r="R84" i="135"/>
  <c r="Q84" i="135"/>
  <c r="O84" i="135"/>
  <c r="N84" i="135"/>
  <c r="L84" i="135"/>
  <c r="K84" i="135"/>
  <c r="I84" i="135"/>
  <c r="H84" i="135"/>
  <c r="F84" i="135"/>
  <c r="E84" i="135"/>
  <c r="C84" i="135"/>
  <c r="B84" i="135"/>
  <c r="A84" i="135"/>
  <c r="U83" i="135"/>
  <c r="T83" i="135"/>
  <c r="R83" i="135"/>
  <c r="Q83" i="135"/>
  <c r="O83" i="135"/>
  <c r="N83" i="135"/>
  <c r="L83" i="135"/>
  <c r="K83" i="135"/>
  <c r="I83" i="135"/>
  <c r="H83" i="135"/>
  <c r="F83" i="135"/>
  <c r="E83" i="135"/>
  <c r="C83" i="135"/>
  <c r="B83" i="135"/>
  <c r="A83" i="135"/>
  <c r="U82" i="135"/>
  <c r="T82" i="135"/>
  <c r="R82" i="135"/>
  <c r="Q82" i="135"/>
  <c r="O82" i="135"/>
  <c r="N82" i="135"/>
  <c r="L82" i="135"/>
  <c r="K82" i="135"/>
  <c r="I82" i="135"/>
  <c r="H82" i="135"/>
  <c r="F82" i="135"/>
  <c r="E82" i="135"/>
  <c r="C82" i="135"/>
  <c r="B82" i="135"/>
  <c r="A82" i="135"/>
  <c r="U81" i="135"/>
  <c r="T81" i="135"/>
  <c r="R81" i="135"/>
  <c r="Q81" i="135"/>
  <c r="O81" i="135"/>
  <c r="N81" i="135"/>
  <c r="L81" i="135"/>
  <c r="K81" i="135"/>
  <c r="I81" i="135"/>
  <c r="H81" i="135"/>
  <c r="F81" i="135"/>
  <c r="E81" i="135"/>
  <c r="C81" i="135"/>
  <c r="B81" i="135"/>
  <c r="A81" i="135"/>
  <c r="U80" i="135"/>
  <c r="T80" i="135"/>
  <c r="R80" i="135"/>
  <c r="Q80" i="135"/>
  <c r="O80" i="135"/>
  <c r="N80" i="135"/>
  <c r="L80" i="135"/>
  <c r="K80" i="135"/>
  <c r="I80" i="135"/>
  <c r="H80" i="135"/>
  <c r="F80" i="135"/>
  <c r="E80" i="135"/>
  <c r="C80" i="135"/>
  <c r="B80" i="135"/>
  <c r="A80" i="135"/>
  <c r="U79" i="135"/>
  <c r="T79" i="135"/>
  <c r="R79" i="135"/>
  <c r="Q79" i="135"/>
  <c r="O79" i="135"/>
  <c r="N79" i="135"/>
  <c r="L79" i="135"/>
  <c r="K79" i="135"/>
  <c r="I79" i="135"/>
  <c r="H79" i="135"/>
  <c r="F79" i="135"/>
  <c r="E79" i="135"/>
  <c r="C79" i="135"/>
  <c r="B79" i="135"/>
  <c r="A79" i="135"/>
  <c r="U78" i="135"/>
  <c r="T78" i="135"/>
  <c r="R78" i="135"/>
  <c r="Q78" i="135"/>
  <c r="O78" i="135"/>
  <c r="N78" i="135"/>
  <c r="L78" i="135"/>
  <c r="K78" i="135"/>
  <c r="I78" i="135"/>
  <c r="H78" i="135"/>
  <c r="F78" i="135"/>
  <c r="E78" i="135"/>
  <c r="C78" i="135"/>
  <c r="B78" i="135"/>
  <c r="A78" i="135"/>
  <c r="U77" i="135"/>
  <c r="T77" i="135"/>
  <c r="R77" i="135"/>
  <c r="Q77" i="135"/>
  <c r="O77" i="135"/>
  <c r="N77" i="135"/>
  <c r="L77" i="135"/>
  <c r="K77" i="135"/>
  <c r="I77" i="135"/>
  <c r="H77" i="135"/>
  <c r="F77" i="135"/>
  <c r="E77" i="135"/>
  <c r="C77" i="135"/>
  <c r="B77" i="135"/>
  <c r="A77" i="135"/>
  <c r="U76" i="135"/>
  <c r="T76" i="135"/>
  <c r="R76" i="135"/>
  <c r="Q76" i="135"/>
  <c r="O76" i="135"/>
  <c r="N76" i="135"/>
  <c r="L76" i="135"/>
  <c r="K76" i="135"/>
  <c r="I76" i="135"/>
  <c r="H76" i="135"/>
  <c r="F76" i="135"/>
  <c r="E76" i="135"/>
  <c r="C76" i="135"/>
  <c r="B76" i="135"/>
  <c r="A76" i="135"/>
  <c r="U75" i="135"/>
  <c r="T75" i="135"/>
  <c r="R75" i="135"/>
  <c r="Q75" i="135"/>
  <c r="O75" i="135"/>
  <c r="N75" i="135"/>
  <c r="L75" i="135"/>
  <c r="K75" i="135"/>
  <c r="I75" i="135"/>
  <c r="H75" i="135"/>
  <c r="F75" i="135"/>
  <c r="E75" i="135"/>
  <c r="C75" i="135"/>
  <c r="B75" i="135"/>
  <c r="A75" i="135"/>
  <c r="U74" i="135"/>
  <c r="R74" i="135"/>
  <c r="O74" i="135"/>
  <c r="L74" i="135"/>
  <c r="I74" i="135"/>
  <c r="F74" i="135"/>
  <c r="S69" i="135"/>
  <c r="P69" i="135"/>
  <c r="M69" i="135"/>
  <c r="J69" i="135"/>
  <c r="G69" i="135"/>
  <c r="D69" i="135"/>
  <c r="S68" i="135"/>
  <c r="P68" i="135"/>
  <c r="M68" i="135"/>
  <c r="J68" i="135"/>
  <c r="G68" i="135"/>
  <c r="D68" i="135"/>
  <c r="U67" i="135"/>
  <c r="T67" i="135"/>
  <c r="R67" i="135"/>
  <c r="Q67" i="135"/>
  <c r="O67" i="135"/>
  <c r="N67" i="135"/>
  <c r="L67" i="135"/>
  <c r="K67" i="135"/>
  <c r="I67" i="135"/>
  <c r="H67" i="135"/>
  <c r="F67" i="135"/>
  <c r="E67" i="135"/>
  <c r="C67" i="135"/>
  <c r="B67" i="135"/>
  <c r="U66" i="135"/>
  <c r="T66" i="135"/>
  <c r="R66" i="135"/>
  <c r="Q66" i="135"/>
  <c r="O66" i="135"/>
  <c r="N66" i="135"/>
  <c r="L66" i="135"/>
  <c r="K66" i="135"/>
  <c r="I66" i="135"/>
  <c r="H66" i="135"/>
  <c r="F66" i="135"/>
  <c r="E66" i="135"/>
  <c r="C66" i="135"/>
  <c r="B66" i="135"/>
  <c r="U65" i="135"/>
  <c r="T65" i="135"/>
  <c r="R65" i="135"/>
  <c r="Q65" i="135"/>
  <c r="O65" i="135"/>
  <c r="N65" i="135"/>
  <c r="L65" i="135"/>
  <c r="K65" i="135"/>
  <c r="I65" i="135"/>
  <c r="H65" i="135"/>
  <c r="F65" i="135"/>
  <c r="E65" i="135"/>
  <c r="C65" i="135"/>
  <c r="B65" i="135"/>
  <c r="U64" i="135"/>
  <c r="T64" i="135"/>
  <c r="R64" i="135"/>
  <c r="Q64" i="135"/>
  <c r="O64" i="135"/>
  <c r="N64" i="135"/>
  <c r="L64" i="135"/>
  <c r="K64" i="135"/>
  <c r="I64" i="135"/>
  <c r="H64" i="135"/>
  <c r="F64" i="135"/>
  <c r="E64" i="135"/>
  <c r="C64" i="135"/>
  <c r="B64" i="135"/>
  <c r="U63" i="135"/>
  <c r="T63" i="135"/>
  <c r="R63" i="135"/>
  <c r="Q63" i="135"/>
  <c r="O63" i="135"/>
  <c r="N63" i="135"/>
  <c r="L63" i="135"/>
  <c r="K63" i="135"/>
  <c r="I63" i="135"/>
  <c r="H63" i="135"/>
  <c r="F63" i="135"/>
  <c r="E63" i="135"/>
  <c r="C63" i="135"/>
  <c r="B63" i="135"/>
  <c r="U62" i="135"/>
  <c r="T62" i="135"/>
  <c r="R62" i="135"/>
  <c r="Q62" i="135"/>
  <c r="O62" i="135"/>
  <c r="N62" i="135"/>
  <c r="L62" i="135"/>
  <c r="K62" i="135"/>
  <c r="I62" i="135"/>
  <c r="H62" i="135"/>
  <c r="F62" i="135"/>
  <c r="E62" i="135"/>
  <c r="C62" i="135"/>
  <c r="B62" i="135"/>
  <c r="U61" i="135"/>
  <c r="T61" i="135"/>
  <c r="R61" i="135"/>
  <c r="Q61" i="135"/>
  <c r="O61" i="135"/>
  <c r="N61" i="135"/>
  <c r="L61" i="135"/>
  <c r="K61" i="135"/>
  <c r="I61" i="135"/>
  <c r="H61" i="135"/>
  <c r="F61" i="135"/>
  <c r="E61" i="135"/>
  <c r="C61" i="135"/>
  <c r="B61" i="135"/>
  <c r="U60" i="135"/>
  <c r="T60" i="135"/>
  <c r="R60" i="135"/>
  <c r="Q60" i="135"/>
  <c r="O60" i="135"/>
  <c r="N60" i="135"/>
  <c r="L60" i="135"/>
  <c r="K60" i="135"/>
  <c r="I60" i="135"/>
  <c r="H60" i="135"/>
  <c r="F60" i="135"/>
  <c r="E60" i="135"/>
  <c r="C60" i="135"/>
  <c r="B60" i="135"/>
  <c r="U59" i="135"/>
  <c r="T59" i="135"/>
  <c r="R59" i="135"/>
  <c r="Q59" i="135"/>
  <c r="O59" i="135"/>
  <c r="N59" i="135"/>
  <c r="L59" i="135"/>
  <c r="K59" i="135"/>
  <c r="I59" i="135"/>
  <c r="H59" i="135"/>
  <c r="F59" i="135"/>
  <c r="E59" i="135"/>
  <c r="C59" i="135"/>
  <c r="B59" i="135"/>
  <c r="U58" i="135"/>
  <c r="T58" i="135"/>
  <c r="R58" i="135"/>
  <c r="Q58" i="135"/>
  <c r="O58" i="135"/>
  <c r="N58" i="135"/>
  <c r="L58" i="135"/>
  <c r="K58" i="135"/>
  <c r="I58" i="135"/>
  <c r="H58" i="135"/>
  <c r="F58" i="135"/>
  <c r="E58" i="135"/>
  <c r="C58" i="135"/>
  <c r="B58" i="135"/>
  <c r="U57" i="135"/>
  <c r="R57" i="135"/>
  <c r="O57" i="135"/>
  <c r="L57" i="135"/>
  <c r="I57" i="135"/>
  <c r="F57" i="135"/>
  <c r="S52" i="135"/>
  <c r="P52" i="135"/>
  <c r="M52" i="135"/>
  <c r="J52" i="135"/>
  <c r="G52" i="135"/>
  <c r="D52" i="135"/>
  <c r="S51" i="135"/>
  <c r="P51" i="135"/>
  <c r="M51" i="135"/>
  <c r="J51" i="135"/>
  <c r="G51" i="135"/>
  <c r="D51" i="135"/>
  <c r="U50" i="135"/>
  <c r="T50" i="135"/>
  <c r="R50" i="135"/>
  <c r="Q50" i="135"/>
  <c r="O50" i="135"/>
  <c r="N50" i="135"/>
  <c r="L50" i="135"/>
  <c r="K50" i="135"/>
  <c r="I50" i="135"/>
  <c r="H50" i="135"/>
  <c r="F50" i="135"/>
  <c r="E50" i="135"/>
  <c r="C50" i="135"/>
  <c r="B50" i="135"/>
  <c r="U49" i="135"/>
  <c r="T49" i="135"/>
  <c r="R49" i="135"/>
  <c r="Q49" i="135"/>
  <c r="O49" i="135"/>
  <c r="N49" i="135"/>
  <c r="L49" i="135"/>
  <c r="K49" i="135"/>
  <c r="I49" i="135"/>
  <c r="H49" i="135"/>
  <c r="F49" i="135"/>
  <c r="E49" i="135"/>
  <c r="C49" i="135"/>
  <c r="B49" i="135"/>
  <c r="U48" i="135"/>
  <c r="T48" i="135"/>
  <c r="R48" i="135"/>
  <c r="Q48" i="135"/>
  <c r="O48" i="135"/>
  <c r="N48" i="135"/>
  <c r="L48" i="135"/>
  <c r="K48" i="135"/>
  <c r="I48" i="135"/>
  <c r="H48" i="135"/>
  <c r="F48" i="135"/>
  <c r="E48" i="135"/>
  <c r="C48" i="135"/>
  <c r="B48" i="135"/>
  <c r="U47" i="135"/>
  <c r="T47" i="135"/>
  <c r="R47" i="135"/>
  <c r="Q47" i="135"/>
  <c r="O47" i="135"/>
  <c r="N47" i="135"/>
  <c r="L47" i="135"/>
  <c r="K47" i="135"/>
  <c r="I47" i="135"/>
  <c r="H47" i="135"/>
  <c r="F47" i="135"/>
  <c r="E47" i="135"/>
  <c r="C47" i="135"/>
  <c r="B47" i="135"/>
  <c r="U46" i="135"/>
  <c r="T46" i="135"/>
  <c r="R46" i="135"/>
  <c r="Q46" i="135"/>
  <c r="O46" i="135"/>
  <c r="N46" i="135"/>
  <c r="L46" i="135"/>
  <c r="K46" i="135"/>
  <c r="I46" i="135"/>
  <c r="H46" i="135"/>
  <c r="F46" i="135"/>
  <c r="E46" i="135"/>
  <c r="C46" i="135"/>
  <c r="B46" i="135"/>
  <c r="U45" i="135"/>
  <c r="T45" i="135"/>
  <c r="R45" i="135"/>
  <c r="Q45" i="135"/>
  <c r="O45" i="135"/>
  <c r="N45" i="135"/>
  <c r="L45" i="135"/>
  <c r="K45" i="135"/>
  <c r="I45" i="135"/>
  <c r="H45" i="135"/>
  <c r="F45" i="135"/>
  <c r="E45" i="135"/>
  <c r="C45" i="135"/>
  <c r="B45" i="135"/>
  <c r="U44" i="135"/>
  <c r="T44" i="135"/>
  <c r="R44" i="135"/>
  <c r="Q44" i="135"/>
  <c r="O44" i="135"/>
  <c r="N44" i="135"/>
  <c r="L44" i="135"/>
  <c r="K44" i="135"/>
  <c r="I44" i="135"/>
  <c r="H44" i="135"/>
  <c r="F44" i="135"/>
  <c r="E44" i="135"/>
  <c r="C44" i="135"/>
  <c r="B44" i="135"/>
  <c r="U43" i="135"/>
  <c r="T43" i="135"/>
  <c r="R43" i="135"/>
  <c r="Q43" i="135"/>
  <c r="O43" i="135"/>
  <c r="N43" i="135"/>
  <c r="L43" i="135"/>
  <c r="K43" i="135"/>
  <c r="I43" i="135"/>
  <c r="H43" i="135"/>
  <c r="F43" i="135"/>
  <c r="E43" i="135"/>
  <c r="C43" i="135"/>
  <c r="B43" i="135"/>
  <c r="U42" i="135"/>
  <c r="T42" i="135"/>
  <c r="R42" i="135"/>
  <c r="Q42" i="135"/>
  <c r="O42" i="135"/>
  <c r="N42" i="135"/>
  <c r="L42" i="135"/>
  <c r="K42" i="135"/>
  <c r="I42" i="135"/>
  <c r="H42" i="135"/>
  <c r="F42" i="135"/>
  <c r="E42" i="135"/>
  <c r="C42" i="135"/>
  <c r="B42" i="135"/>
  <c r="U41" i="135"/>
  <c r="T41" i="135"/>
  <c r="R41" i="135"/>
  <c r="Q41" i="135"/>
  <c r="O41" i="135"/>
  <c r="N41" i="135"/>
  <c r="L41" i="135"/>
  <c r="K41" i="135"/>
  <c r="I41" i="135"/>
  <c r="H41" i="135"/>
  <c r="F41" i="135"/>
  <c r="E41" i="135"/>
  <c r="C41" i="135"/>
  <c r="B41" i="135"/>
  <c r="U40" i="135"/>
  <c r="R40" i="135"/>
  <c r="O40" i="135"/>
  <c r="L40" i="135"/>
  <c r="I40" i="135"/>
  <c r="F40" i="135"/>
  <c r="S35" i="135"/>
  <c r="P35" i="135"/>
  <c r="M35" i="135"/>
  <c r="J35" i="135"/>
  <c r="G35" i="135"/>
  <c r="D35" i="135"/>
  <c r="S34" i="135"/>
  <c r="P34" i="135"/>
  <c r="M34" i="135"/>
  <c r="J34" i="135"/>
  <c r="G34" i="135"/>
  <c r="D34" i="135"/>
  <c r="U33" i="135"/>
  <c r="T33" i="135"/>
  <c r="R33" i="135"/>
  <c r="Q33" i="135"/>
  <c r="O33" i="135"/>
  <c r="N33" i="135"/>
  <c r="L33" i="135"/>
  <c r="K33" i="135"/>
  <c r="I33" i="135"/>
  <c r="H33" i="135"/>
  <c r="F33" i="135"/>
  <c r="E33" i="135"/>
  <c r="C33" i="135"/>
  <c r="B33" i="135"/>
  <c r="U32" i="135"/>
  <c r="T32" i="135"/>
  <c r="R32" i="135"/>
  <c r="Q32" i="135"/>
  <c r="O32" i="135"/>
  <c r="N32" i="135"/>
  <c r="L32" i="135"/>
  <c r="K32" i="135"/>
  <c r="I32" i="135"/>
  <c r="H32" i="135"/>
  <c r="F32" i="135"/>
  <c r="E32" i="135"/>
  <c r="C32" i="135"/>
  <c r="B32" i="135"/>
  <c r="U31" i="135"/>
  <c r="T31" i="135"/>
  <c r="R31" i="135"/>
  <c r="Q31" i="135"/>
  <c r="O31" i="135"/>
  <c r="N31" i="135"/>
  <c r="L31" i="135"/>
  <c r="I31" i="135"/>
  <c r="F31" i="135"/>
  <c r="C31" i="135"/>
  <c r="B31" i="135"/>
  <c r="U30" i="135"/>
  <c r="T30" i="135"/>
  <c r="R30" i="135"/>
  <c r="Q30" i="135"/>
  <c r="O30" i="135"/>
  <c r="N30" i="135"/>
  <c r="L30" i="135"/>
  <c r="I30" i="135"/>
  <c r="F30" i="135"/>
  <c r="C30" i="135"/>
  <c r="B30" i="135"/>
  <c r="U29" i="135"/>
  <c r="T29" i="135"/>
  <c r="R29" i="135"/>
  <c r="Q29" i="135"/>
  <c r="O29" i="135"/>
  <c r="N29" i="135"/>
  <c r="L29" i="135"/>
  <c r="I29" i="135"/>
  <c r="F29" i="135"/>
  <c r="C29" i="135"/>
  <c r="B29" i="135"/>
  <c r="U28" i="135"/>
  <c r="T28" i="135"/>
  <c r="R28" i="135"/>
  <c r="Q28" i="135"/>
  <c r="O28" i="135"/>
  <c r="N28" i="135"/>
  <c r="L28" i="135"/>
  <c r="I28" i="135"/>
  <c r="F28" i="135"/>
  <c r="C28" i="135"/>
  <c r="B28" i="135"/>
  <c r="U27" i="135"/>
  <c r="T27" i="135"/>
  <c r="R27" i="135"/>
  <c r="Q27" i="135"/>
  <c r="O27" i="135"/>
  <c r="N27" i="135"/>
  <c r="L27" i="135"/>
  <c r="I27" i="135"/>
  <c r="F27" i="135"/>
  <c r="C27" i="135"/>
  <c r="B27" i="135"/>
  <c r="U26" i="135"/>
  <c r="T26" i="135"/>
  <c r="R26" i="135"/>
  <c r="Q26" i="135"/>
  <c r="O26" i="135"/>
  <c r="N26" i="135"/>
  <c r="L26" i="135"/>
  <c r="I26" i="135"/>
  <c r="F26" i="135"/>
  <c r="C26" i="135"/>
  <c r="B26" i="135"/>
  <c r="U25" i="135"/>
  <c r="T25" i="135"/>
  <c r="R25" i="135"/>
  <c r="Q25" i="135"/>
  <c r="O25" i="135"/>
  <c r="N25" i="135"/>
  <c r="L25" i="135"/>
  <c r="I25" i="135"/>
  <c r="F25" i="135"/>
  <c r="C25" i="135"/>
  <c r="B25" i="135"/>
  <c r="U24" i="135"/>
  <c r="T24" i="135"/>
  <c r="R24" i="135"/>
  <c r="Q24" i="135"/>
  <c r="O24" i="135"/>
  <c r="N24" i="135"/>
  <c r="L24" i="135"/>
  <c r="I24" i="135"/>
  <c r="F24" i="135"/>
  <c r="C24" i="135"/>
  <c r="B24" i="135"/>
  <c r="U23" i="135"/>
  <c r="R23" i="135"/>
  <c r="O23" i="135"/>
  <c r="L23" i="135"/>
  <c r="I23" i="135"/>
  <c r="F23" i="135"/>
  <c r="S19" i="135"/>
  <c r="P19" i="135"/>
  <c r="R14" i="135" s="1"/>
  <c r="M19" i="135"/>
  <c r="O16" i="135" s="1"/>
  <c r="J19" i="135"/>
  <c r="L8" i="135" s="1"/>
  <c r="G19" i="135"/>
  <c r="I16" i="135" s="1"/>
  <c r="D19" i="135"/>
  <c r="S18" i="135"/>
  <c r="U16" i="135" s="1"/>
  <c r="P18" i="135"/>
  <c r="M18" i="135"/>
  <c r="J18" i="135"/>
  <c r="G18" i="135"/>
  <c r="D18" i="135"/>
  <c r="U17" i="135"/>
  <c r="T17" i="135"/>
  <c r="R17" i="135"/>
  <c r="Q17" i="135"/>
  <c r="O17" i="135"/>
  <c r="N17" i="135"/>
  <c r="L17" i="135"/>
  <c r="K17" i="135"/>
  <c r="I17" i="135"/>
  <c r="H17" i="135"/>
  <c r="D102" i="135" s="1"/>
  <c r="F17" i="135"/>
  <c r="E17" i="135"/>
  <c r="D117" i="135" s="1"/>
  <c r="E117" i="135" s="1"/>
  <c r="T16" i="135"/>
  <c r="R16" i="135"/>
  <c r="Q16" i="135"/>
  <c r="N16" i="135"/>
  <c r="L16" i="135"/>
  <c r="K16" i="135"/>
  <c r="H16" i="135"/>
  <c r="E16" i="135"/>
  <c r="T15" i="135"/>
  <c r="R15" i="135"/>
  <c r="Q15" i="135"/>
  <c r="N15" i="135"/>
  <c r="K15" i="135"/>
  <c r="H15" i="135"/>
  <c r="E15" i="135"/>
  <c r="T14" i="135"/>
  <c r="Q14" i="135"/>
  <c r="N14" i="135"/>
  <c r="L14" i="135"/>
  <c r="K14" i="135"/>
  <c r="H14" i="135"/>
  <c r="E14" i="135"/>
  <c r="T13" i="135"/>
  <c r="Q13" i="135"/>
  <c r="N13" i="135"/>
  <c r="K13" i="135"/>
  <c r="H13" i="135"/>
  <c r="E13" i="135"/>
  <c r="T12" i="135"/>
  <c r="Q12" i="135"/>
  <c r="N12" i="135"/>
  <c r="L12" i="135"/>
  <c r="K12" i="135"/>
  <c r="H12" i="135"/>
  <c r="E12" i="135"/>
  <c r="T11" i="135"/>
  <c r="Q11" i="135"/>
  <c r="N11" i="135"/>
  <c r="K11" i="135"/>
  <c r="H11" i="135"/>
  <c r="E11" i="135"/>
  <c r="T10" i="135"/>
  <c r="Q10" i="135"/>
  <c r="N10" i="135"/>
  <c r="L10" i="135"/>
  <c r="K10" i="135"/>
  <c r="H10" i="135"/>
  <c r="E10" i="135"/>
  <c r="T9" i="135"/>
  <c r="Q9" i="135"/>
  <c r="N9" i="135"/>
  <c r="K9" i="135"/>
  <c r="H9" i="135"/>
  <c r="E9" i="135"/>
  <c r="T8" i="135"/>
  <c r="Q8" i="135"/>
  <c r="N8" i="135"/>
  <c r="K8" i="135"/>
  <c r="H8" i="135"/>
  <c r="E8" i="135"/>
  <c r="U7" i="135"/>
  <c r="R7" i="135"/>
  <c r="O7" i="135"/>
  <c r="L7" i="135"/>
  <c r="L15" i="135" s="1"/>
  <c r="I7" i="135"/>
  <c r="E92" i="135" s="1"/>
  <c r="E138" i="135" s="1"/>
  <c r="F7" i="135"/>
  <c r="E107" i="135" s="1"/>
  <c r="C148" i="134"/>
  <c r="B148" i="134"/>
  <c r="A148" i="134"/>
  <c r="C147" i="134"/>
  <c r="B147" i="134"/>
  <c r="A147" i="134"/>
  <c r="C146" i="134"/>
  <c r="B146" i="134"/>
  <c r="A146" i="134"/>
  <c r="C145" i="134"/>
  <c r="B145" i="134"/>
  <c r="A145" i="134"/>
  <c r="C144" i="134"/>
  <c r="B144" i="134"/>
  <c r="A144" i="134"/>
  <c r="C143" i="134"/>
  <c r="B143" i="134"/>
  <c r="A143" i="134"/>
  <c r="C142" i="134"/>
  <c r="B142" i="134"/>
  <c r="A142" i="134"/>
  <c r="C141" i="134"/>
  <c r="B141" i="134"/>
  <c r="A141" i="134"/>
  <c r="C140" i="134"/>
  <c r="B140" i="134"/>
  <c r="A140" i="134"/>
  <c r="C139" i="134"/>
  <c r="B139" i="134"/>
  <c r="A139" i="134"/>
  <c r="B124" i="134"/>
  <c r="B128" i="134" s="1"/>
  <c r="C128" i="134" s="1"/>
  <c r="C117" i="134"/>
  <c r="B117" i="134"/>
  <c r="A117" i="134"/>
  <c r="C116" i="134"/>
  <c r="B116" i="134"/>
  <c r="A116" i="134"/>
  <c r="M115" i="134"/>
  <c r="L115" i="134"/>
  <c r="J115" i="134"/>
  <c r="I115" i="134"/>
  <c r="C115" i="134"/>
  <c r="B115" i="134"/>
  <c r="A115" i="134"/>
  <c r="S114" i="134"/>
  <c r="T114" i="134" s="1"/>
  <c r="Q114" i="134"/>
  <c r="O114" i="134"/>
  <c r="L114" i="134"/>
  <c r="M114" i="134" s="1"/>
  <c r="J114" i="134"/>
  <c r="I114" i="134"/>
  <c r="C114" i="134"/>
  <c r="B114" i="134"/>
  <c r="A114" i="134"/>
  <c r="S113" i="134"/>
  <c r="T113" i="134" s="1"/>
  <c r="Q113" i="134"/>
  <c r="O113" i="134"/>
  <c r="C113" i="134"/>
  <c r="B113" i="134"/>
  <c r="A113" i="134"/>
  <c r="S112" i="134"/>
  <c r="T112" i="134" s="1"/>
  <c r="Q112" i="134"/>
  <c r="O112" i="134"/>
  <c r="C112" i="134"/>
  <c r="B112" i="134"/>
  <c r="A112" i="134"/>
  <c r="T111" i="134"/>
  <c r="S111" i="134"/>
  <c r="Q111" i="134"/>
  <c r="P111" i="134"/>
  <c r="G115" i="134" s="1"/>
  <c r="O111" i="134"/>
  <c r="C111" i="134"/>
  <c r="B111" i="134"/>
  <c r="A111" i="134"/>
  <c r="S110" i="134"/>
  <c r="T110" i="134" s="1"/>
  <c r="Q110" i="134"/>
  <c r="O110" i="134"/>
  <c r="C110" i="134"/>
  <c r="B110" i="134"/>
  <c r="A110" i="134"/>
  <c r="T109" i="134"/>
  <c r="S109" i="134"/>
  <c r="Q109" i="134"/>
  <c r="O109" i="134"/>
  <c r="M109" i="134"/>
  <c r="L109" i="134"/>
  <c r="J109" i="134"/>
  <c r="I109" i="134"/>
  <c r="C109" i="134"/>
  <c r="B109" i="134"/>
  <c r="A109" i="134"/>
  <c r="T108" i="134"/>
  <c r="S108" i="134"/>
  <c r="Q108" i="134"/>
  <c r="O108" i="134"/>
  <c r="M108" i="134"/>
  <c r="L108" i="134"/>
  <c r="J108" i="134"/>
  <c r="I108" i="134"/>
  <c r="C108" i="134"/>
  <c r="B108" i="134"/>
  <c r="A108" i="134"/>
  <c r="D107" i="134"/>
  <c r="C102" i="134"/>
  <c r="B102" i="134"/>
  <c r="A102" i="134"/>
  <c r="C101" i="134"/>
  <c r="B101" i="134"/>
  <c r="A101" i="134"/>
  <c r="C100" i="134"/>
  <c r="B100" i="134"/>
  <c r="A100" i="134"/>
  <c r="C99" i="134"/>
  <c r="B99" i="134"/>
  <c r="A99" i="134"/>
  <c r="C98" i="134"/>
  <c r="B98" i="134"/>
  <c r="A98" i="134"/>
  <c r="C97" i="134"/>
  <c r="B97" i="134"/>
  <c r="A97" i="134"/>
  <c r="C96" i="134"/>
  <c r="B96" i="134"/>
  <c r="A96" i="134"/>
  <c r="C95" i="134"/>
  <c r="B95" i="134"/>
  <c r="A95" i="134"/>
  <c r="C94" i="134"/>
  <c r="B94" i="134"/>
  <c r="A94" i="134"/>
  <c r="C93" i="134"/>
  <c r="B93" i="134"/>
  <c r="A93" i="134"/>
  <c r="D92" i="134"/>
  <c r="D138" i="134" s="1"/>
  <c r="S86" i="134"/>
  <c r="P86" i="134"/>
  <c r="M86" i="134"/>
  <c r="J86" i="134"/>
  <c r="G86" i="134"/>
  <c r="D86" i="134"/>
  <c r="S85" i="134"/>
  <c r="P85" i="134"/>
  <c r="M85" i="134"/>
  <c r="J85" i="134"/>
  <c r="G85" i="134"/>
  <c r="D85" i="134"/>
  <c r="U84" i="134"/>
  <c r="T84" i="134"/>
  <c r="R84" i="134"/>
  <c r="Q84" i="134"/>
  <c r="O84" i="134"/>
  <c r="N84" i="134"/>
  <c r="L84" i="134"/>
  <c r="K84" i="134"/>
  <c r="I84" i="134"/>
  <c r="H84" i="134"/>
  <c r="F84" i="134"/>
  <c r="E84" i="134"/>
  <c r="C84" i="134"/>
  <c r="B84" i="134"/>
  <c r="A84" i="134"/>
  <c r="U83" i="134"/>
  <c r="T83" i="134"/>
  <c r="R83" i="134"/>
  <c r="Q83" i="134"/>
  <c r="O83" i="134"/>
  <c r="N83" i="134"/>
  <c r="L83" i="134"/>
  <c r="K83" i="134"/>
  <c r="I83" i="134"/>
  <c r="H83" i="134"/>
  <c r="F83" i="134"/>
  <c r="E83" i="134"/>
  <c r="C83" i="134"/>
  <c r="B83" i="134"/>
  <c r="A83" i="134"/>
  <c r="U82" i="134"/>
  <c r="T82" i="134"/>
  <c r="R82" i="134"/>
  <c r="Q82" i="134"/>
  <c r="O82" i="134"/>
  <c r="N82" i="134"/>
  <c r="L82" i="134"/>
  <c r="K82" i="134"/>
  <c r="I82" i="134"/>
  <c r="H82" i="134"/>
  <c r="F82" i="134"/>
  <c r="E82" i="134"/>
  <c r="C82" i="134"/>
  <c r="B82" i="134"/>
  <c r="A82" i="134"/>
  <c r="U81" i="134"/>
  <c r="T81" i="134"/>
  <c r="R81" i="134"/>
  <c r="Q81" i="134"/>
  <c r="O81" i="134"/>
  <c r="N81" i="134"/>
  <c r="L81" i="134"/>
  <c r="K81" i="134"/>
  <c r="I81" i="134"/>
  <c r="H81" i="134"/>
  <c r="F81" i="134"/>
  <c r="E81" i="134"/>
  <c r="C81" i="134"/>
  <c r="B81" i="134"/>
  <c r="A81" i="134"/>
  <c r="U80" i="134"/>
  <c r="T80" i="134"/>
  <c r="R80" i="134"/>
  <c r="Q80" i="134"/>
  <c r="O80" i="134"/>
  <c r="N80" i="134"/>
  <c r="L80" i="134"/>
  <c r="K80" i="134"/>
  <c r="I80" i="134"/>
  <c r="H80" i="134"/>
  <c r="F80" i="134"/>
  <c r="E80" i="134"/>
  <c r="C80" i="134"/>
  <c r="B80" i="134"/>
  <c r="A80" i="134"/>
  <c r="U79" i="134"/>
  <c r="T79" i="134"/>
  <c r="R79" i="134"/>
  <c r="Q79" i="134"/>
  <c r="O79" i="134"/>
  <c r="N79" i="134"/>
  <c r="L79" i="134"/>
  <c r="K79" i="134"/>
  <c r="I79" i="134"/>
  <c r="H79" i="134"/>
  <c r="F79" i="134"/>
  <c r="E79" i="134"/>
  <c r="C79" i="134"/>
  <c r="B79" i="134"/>
  <c r="A79" i="134"/>
  <c r="U78" i="134"/>
  <c r="T78" i="134"/>
  <c r="R78" i="134"/>
  <c r="Q78" i="134"/>
  <c r="O78" i="134"/>
  <c r="N78" i="134"/>
  <c r="L78" i="134"/>
  <c r="K78" i="134"/>
  <c r="I78" i="134"/>
  <c r="H78" i="134"/>
  <c r="F78" i="134"/>
  <c r="E78" i="134"/>
  <c r="C78" i="134"/>
  <c r="B78" i="134"/>
  <c r="A78" i="134"/>
  <c r="U77" i="134"/>
  <c r="T77" i="134"/>
  <c r="R77" i="134"/>
  <c r="Q77" i="134"/>
  <c r="O77" i="134"/>
  <c r="N77" i="134"/>
  <c r="L77" i="134"/>
  <c r="K77" i="134"/>
  <c r="I77" i="134"/>
  <c r="H77" i="134"/>
  <c r="F77" i="134"/>
  <c r="E77" i="134"/>
  <c r="C77" i="134"/>
  <c r="B77" i="134"/>
  <c r="A77" i="134"/>
  <c r="U76" i="134"/>
  <c r="T76" i="134"/>
  <c r="R76" i="134"/>
  <c r="Q76" i="134"/>
  <c r="O76" i="134"/>
  <c r="N76" i="134"/>
  <c r="L76" i="134"/>
  <c r="K76" i="134"/>
  <c r="I76" i="134"/>
  <c r="H76" i="134"/>
  <c r="F76" i="134"/>
  <c r="E76" i="134"/>
  <c r="C76" i="134"/>
  <c r="B76" i="134"/>
  <c r="A76" i="134"/>
  <c r="U75" i="134"/>
  <c r="T75" i="134"/>
  <c r="R75" i="134"/>
  <c r="Q75" i="134"/>
  <c r="O75" i="134"/>
  <c r="N75" i="134"/>
  <c r="L75" i="134"/>
  <c r="K75" i="134"/>
  <c r="I75" i="134"/>
  <c r="H75" i="134"/>
  <c r="F75" i="134"/>
  <c r="E75" i="134"/>
  <c r="C75" i="134"/>
  <c r="B75" i="134"/>
  <c r="A75" i="134"/>
  <c r="U74" i="134"/>
  <c r="R74" i="134"/>
  <c r="O74" i="134"/>
  <c r="L74" i="134"/>
  <c r="I74" i="134"/>
  <c r="F74" i="134"/>
  <c r="S69" i="134"/>
  <c r="P69" i="134"/>
  <c r="M69" i="134"/>
  <c r="J69" i="134"/>
  <c r="G69" i="134"/>
  <c r="D69" i="134"/>
  <c r="S68" i="134"/>
  <c r="P68" i="134"/>
  <c r="M68" i="134"/>
  <c r="J68" i="134"/>
  <c r="G68" i="134"/>
  <c r="D68" i="134"/>
  <c r="U67" i="134"/>
  <c r="T67" i="134"/>
  <c r="R67" i="134"/>
  <c r="Q67" i="134"/>
  <c r="O67" i="134"/>
  <c r="N67" i="134"/>
  <c r="L67" i="134"/>
  <c r="K67" i="134"/>
  <c r="I67" i="134"/>
  <c r="H67" i="134"/>
  <c r="F67" i="134"/>
  <c r="E67" i="134"/>
  <c r="C67" i="134"/>
  <c r="B67" i="134"/>
  <c r="U66" i="134"/>
  <c r="T66" i="134"/>
  <c r="R66" i="134"/>
  <c r="Q66" i="134"/>
  <c r="O66" i="134"/>
  <c r="N66" i="134"/>
  <c r="L66" i="134"/>
  <c r="K66" i="134"/>
  <c r="I66" i="134"/>
  <c r="H66" i="134"/>
  <c r="F66" i="134"/>
  <c r="E66" i="134"/>
  <c r="C66" i="134"/>
  <c r="B66" i="134"/>
  <c r="U65" i="134"/>
  <c r="T65" i="134"/>
  <c r="R65" i="134"/>
  <c r="Q65" i="134"/>
  <c r="O65" i="134"/>
  <c r="N65" i="134"/>
  <c r="L65" i="134"/>
  <c r="K65" i="134"/>
  <c r="I65" i="134"/>
  <c r="H65" i="134"/>
  <c r="F65" i="134"/>
  <c r="E65" i="134"/>
  <c r="C65" i="134"/>
  <c r="B65" i="134"/>
  <c r="U64" i="134"/>
  <c r="T64" i="134"/>
  <c r="R64" i="134"/>
  <c r="Q64" i="134"/>
  <c r="O64" i="134"/>
  <c r="N64" i="134"/>
  <c r="L64" i="134"/>
  <c r="K64" i="134"/>
  <c r="I64" i="134"/>
  <c r="H64" i="134"/>
  <c r="F64" i="134"/>
  <c r="E64" i="134"/>
  <c r="C64" i="134"/>
  <c r="B64" i="134"/>
  <c r="U63" i="134"/>
  <c r="T63" i="134"/>
  <c r="R63" i="134"/>
  <c r="Q63" i="134"/>
  <c r="O63" i="134"/>
  <c r="N63" i="134"/>
  <c r="L63" i="134"/>
  <c r="K63" i="134"/>
  <c r="I63" i="134"/>
  <c r="H63" i="134"/>
  <c r="F63" i="134"/>
  <c r="E63" i="134"/>
  <c r="C63" i="134"/>
  <c r="B63" i="134"/>
  <c r="U62" i="134"/>
  <c r="T62" i="134"/>
  <c r="R62" i="134"/>
  <c r="Q62" i="134"/>
  <c r="O62" i="134"/>
  <c r="N62" i="134"/>
  <c r="L62" i="134"/>
  <c r="K62" i="134"/>
  <c r="I62" i="134"/>
  <c r="H62" i="134"/>
  <c r="F62" i="134"/>
  <c r="E62" i="134"/>
  <c r="C62" i="134"/>
  <c r="B62" i="134"/>
  <c r="U61" i="134"/>
  <c r="T61" i="134"/>
  <c r="R61" i="134"/>
  <c r="Q61" i="134"/>
  <c r="O61" i="134"/>
  <c r="N61" i="134"/>
  <c r="L61" i="134"/>
  <c r="K61" i="134"/>
  <c r="I61" i="134"/>
  <c r="H61" i="134"/>
  <c r="F61" i="134"/>
  <c r="E61" i="134"/>
  <c r="C61" i="134"/>
  <c r="B61" i="134"/>
  <c r="U60" i="134"/>
  <c r="T60" i="134"/>
  <c r="R60" i="134"/>
  <c r="Q60" i="134"/>
  <c r="O60" i="134"/>
  <c r="N60" i="134"/>
  <c r="L60" i="134"/>
  <c r="K60" i="134"/>
  <c r="I60" i="134"/>
  <c r="H60" i="134"/>
  <c r="F60" i="134"/>
  <c r="E60" i="134"/>
  <c r="C60" i="134"/>
  <c r="B60" i="134"/>
  <c r="U59" i="134"/>
  <c r="T59" i="134"/>
  <c r="R59" i="134"/>
  <c r="Q59" i="134"/>
  <c r="O59" i="134"/>
  <c r="N59" i="134"/>
  <c r="L59" i="134"/>
  <c r="K59" i="134"/>
  <c r="I59" i="134"/>
  <c r="H59" i="134"/>
  <c r="F59" i="134"/>
  <c r="E59" i="134"/>
  <c r="C59" i="134"/>
  <c r="B59" i="134"/>
  <c r="U58" i="134"/>
  <c r="T58" i="134"/>
  <c r="R58" i="134"/>
  <c r="Q58" i="134"/>
  <c r="O58" i="134"/>
  <c r="N58" i="134"/>
  <c r="L58" i="134"/>
  <c r="K58" i="134"/>
  <c r="I58" i="134"/>
  <c r="H58" i="134"/>
  <c r="F58" i="134"/>
  <c r="E58" i="134"/>
  <c r="C58" i="134"/>
  <c r="B58" i="134"/>
  <c r="U57" i="134"/>
  <c r="R57" i="134"/>
  <c r="O57" i="134"/>
  <c r="L57" i="134"/>
  <c r="I57" i="134"/>
  <c r="F57" i="134"/>
  <c r="S52" i="134"/>
  <c r="P52" i="134"/>
  <c r="M52" i="134"/>
  <c r="J52" i="134"/>
  <c r="G52" i="134"/>
  <c r="D52" i="134"/>
  <c r="S51" i="134"/>
  <c r="P51" i="134"/>
  <c r="M51" i="134"/>
  <c r="J51" i="134"/>
  <c r="G51" i="134"/>
  <c r="D51" i="134"/>
  <c r="U50" i="134"/>
  <c r="T50" i="134"/>
  <c r="R50" i="134"/>
  <c r="Q50" i="134"/>
  <c r="O50" i="134"/>
  <c r="N50" i="134"/>
  <c r="L50" i="134"/>
  <c r="K50" i="134"/>
  <c r="I50" i="134"/>
  <c r="H50" i="134"/>
  <c r="F50" i="134"/>
  <c r="E50" i="134"/>
  <c r="C50" i="134"/>
  <c r="B50" i="134"/>
  <c r="U49" i="134"/>
  <c r="T49" i="134"/>
  <c r="R49" i="134"/>
  <c r="Q49" i="134"/>
  <c r="O49" i="134"/>
  <c r="N49" i="134"/>
  <c r="L49" i="134"/>
  <c r="K49" i="134"/>
  <c r="I49" i="134"/>
  <c r="H49" i="134"/>
  <c r="F49" i="134"/>
  <c r="E49" i="134"/>
  <c r="C49" i="134"/>
  <c r="B49" i="134"/>
  <c r="U48" i="134"/>
  <c r="T48" i="134"/>
  <c r="R48" i="134"/>
  <c r="Q48" i="134"/>
  <c r="O48" i="134"/>
  <c r="N48" i="134"/>
  <c r="L48" i="134"/>
  <c r="K48" i="134"/>
  <c r="I48" i="134"/>
  <c r="H48" i="134"/>
  <c r="F48" i="134"/>
  <c r="E48" i="134"/>
  <c r="C48" i="134"/>
  <c r="B48" i="134"/>
  <c r="U47" i="134"/>
  <c r="T47" i="134"/>
  <c r="R47" i="134"/>
  <c r="Q47" i="134"/>
  <c r="O47" i="134"/>
  <c r="N47" i="134"/>
  <c r="L47" i="134"/>
  <c r="K47" i="134"/>
  <c r="I47" i="134"/>
  <c r="H47" i="134"/>
  <c r="F47" i="134"/>
  <c r="E47" i="134"/>
  <c r="C47" i="134"/>
  <c r="B47" i="134"/>
  <c r="U46" i="134"/>
  <c r="T46" i="134"/>
  <c r="R46" i="134"/>
  <c r="Q46" i="134"/>
  <c r="O46" i="134"/>
  <c r="N46" i="134"/>
  <c r="L46" i="134"/>
  <c r="K46" i="134"/>
  <c r="I46" i="134"/>
  <c r="H46" i="134"/>
  <c r="F46" i="134"/>
  <c r="E46" i="134"/>
  <c r="C46" i="134"/>
  <c r="B46" i="134"/>
  <c r="U45" i="134"/>
  <c r="T45" i="134"/>
  <c r="R45" i="134"/>
  <c r="Q45" i="134"/>
  <c r="O45" i="134"/>
  <c r="N45" i="134"/>
  <c r="L45" i="134"/>
  <c r="K45" i="134"/>
  <c r="I45" i="134"/>
  <c r="H45" i="134"/>
  <c r="F45" i="134"/>
  <c r="E45" i="134"/>
  <c r="C45" i="134"/>
  <c r="B45" i="134"/>
  <c r="U44" i="134"/>
  <c r="T44" i="134"/>
  <c r="R44" i="134"/>
  <c r="Q44" i="134"/>
  <c r="O44" i="134"/>
  <c r="N44" i="134"/>
  <c r="L44" i="134"/>
  <c r="K44" i="134"/>
  <c r="I44" i="134"/>
  <c r="H44" i="134"/>
  <c r="F44" i="134"/>
  <c r="E44" i="134"/>
  <c r="C44" i="134"/>
  <c r="B44" i="134"/>
  <c r="U43" i="134"/>
  <c r="T43" i="134"/>
  <c r="R43" i="134"/>
  <c r="Q43" i="134"/>
  <c r="O43" i="134"/>
  <c r="N43" i="134"/>
  <c r="L43" i="134"/>
  <c r="K43" i="134"/>
  <c r="I43" i="134"/>
  <c r="H43" i="134"/>
  <c r="F43" i="134"/>
  <c r="E43" i="134"/>
  <c r="C43" i="134"/>
  <c r="B43" i="134"/>
  <c r="U42" i="134"/>
  <c r="T42" i="134"/>
  <c r="R42" i="134"/>
  <c r="Q42" i="134"/>
  <c r="O42" i="134"/>
  <c r="N42" i="134"/>
  <c r="L42" i="134"/>
  <c r="K42" i="134"/>
  <c r="I42" i="134"/>
  <c r="H42" i="134"/>
  <c r="F42" i="134"/>
  <c r="E42" i="134"/>
  <c r="C42" i="134"/>
  <c r="B42" i="134"/>
  <c r="U41" i="134"/>
  <c r="T41" i="134"/>
  <c r="R41" i="134"/>
  <c r="Q41" i="134"/>
  <c r="O41" i="134"/>
  <c r="N41" i="134"/>
  <c r="L41" i="134"/>
  <c r="K41" i="134"/>
  <c r="I41" i="134"/>
  <c r="H41" i="134"/>
  <c r="F41" i="134"/>
  <c r="E41" i="134"/>
  <c r="C41" i="134"/>
  <c r="B41" i="134"/>
  <c r="U40" i="134"/>
  <c r="R40" i="134"/>
  <c r="O40" i="134"/>
  <c r="L40" i="134"/>
  <c r="I40" i="134"/>
  <c r="F40" i="134"/>
  <c r="S35" i="134"/>
  <c r="P35" i="134"/>
  <c r="M35" i="134"/>
  <c r="J35" i="134"/>
  <c r="G35" i="134"/>
  <c r="D35" i="134"/>
  <c r="S34" i="134"/>
  <c r="P34" i="134"/>
  <c r="M34" i="134"/>
  <c r="J34" i="134"/>
  <c r="G34" i="134"/>
  <c r="D34" i="134"/>
  <c r="U33" i="134"/>
  <c r="T33" i="134"/>
  <c r="R33" i="134"/>
  <c r="Q33" i="134"/>
  <c r="O33" i="134"/>
  <c r="N33" i="134"/>
  <c r="L33" i="134"/>
  <c r="K33" i="134"/>
  <c r="I33" i="134"/>
  <c r="H33" i="134"/>
  <c r="F33" i="134"/>
  <c r="E33" i="134"/>
  <c r="C33" i="134"/>
  <c r="B33" i="134"/>
  <c r="U32" i="134"/>
  <c r="T32" i="134"/>
  <c r="R32" i="134"/>
  <c r="Q32" i="134"/>
  <c r="O32" i="134"/>
  <c r="N32" i="134"/>
  <c r="L32" i="134"/>
  <c r="K32" i="134"/>
  <c r="I32" i="134"/>
  <c r="H32" i="134"/>
  <c r="F32" i="134"/>
  <c r="E32" i="134"/>
  <c r="C32" i="134"/>
  <c r="B32" i="134"/>
  <c r="U31" i="134"/>
  <c r="T31" i="134"/>
  <c r="R31" i="134"/>
  <c r="Q31" i="134"/>
  <c r="O31" i="134"/>
  <c r="N31" i="134"/>
  <c r="L31" i="134"/>
  <c r="I31" i="134"/>
  <c r="F31" i="134"/>
  <c r="C31" i="134"/>
  <c r="B31" i="134"/>
  <c r="U30" i="134"/>
  <c r="T30" i="134"/>
  <c r="R30" i="134"/>
  <c r="Q30" i="134"/>
  <c r="O30" i="134"/>
  <c r="N30" i="134"/>
  <c r="L30" i="134"/>
  <c r="I30" i="134"/>
  <c r="F30" i="134"/>
  <c r="C30" i="134"/>
  <c r="B30" i="134"/>
  <c r="U29" i="134"/>
  <c r="T29" i="134"/>
  <c r="R29" i="134"/>
  <c r="Q29" i="134"/>
  <c r="O29" i="134"/>
  <c r="N29" i="134"/>
  <c r="L29" i="134"/>
  <c r="I29" i="134"/>
  <c r="F29" i="134"/>
  <c r="C29" i="134"/>
  <c r="B29" i="134"/>
  <c r="U28" i="134"/>
  <c r="T28" i="134"/>
  <c r="R28" i="134"/>
  <c r="Q28" i="134"/>
  <c r="O28" i="134"/>
  <c r="N28" i="134"/>
  <c r="L28" i="134"/>
  <c r="I28" i="134"/>
  <c r="F28" i="134"/>
  <c r="C28" i="134"/>
  <c r="B28" i="134"/>
  <c r="U27" i="134"/>
  <c r="T27" i="134"/>
  <c r="R27" i="134"/>
  <c r="Q27" i="134"/>
  <c r="O27" i="134"/>
  <c r="N27" i="134"/>
  <c r="L27" i="134"/>
  <c r="I27" i="134"/>
  <c r="F27" i="134"/>
  <c r="C27" i="134"/>
  <c r="B27" i="134"/>
  <c r="U26" i="134"/>
  <c r="T26" i="134"/>
  <c r="R26" i="134"/>
  <c r="Q26" i="134"/>
  <c r="O26" i="134"/>
  <c r="N26" i="134"/>
  <c r="L26" i="134"/>
  <c r="I26" i="134"/>
  <c r="F26" i="134"/>
  <c r="C26" i="134"/>
  <c r="B26" i="134"/>
  <c r="U25" i="134"/>
  <c r="T25" i="134"/>
  <c r="R25" i="134"/>
  <c r="Q25" i="134"/>
  <c r="O25" i="134"/>
  <c r="N25" i="134"/>
  <c r="L25" i="134"/>
  <c r="I25" i="134"/>
  <c r="F25" i="134"/>
  <c r="C25" i="134"/>
  <c r="B25" i="134"/>
  <c r="U24" i="134"/>
  <c r="T24" i="134"/>
  <c r="R24" i="134"/>
  <c r="Q24" i="134"/>
  <c r="O24" i="134"/>
  <c r="N24" i="134"/>
  <c r="L24" i="134"/>
  <c r="I24" i="134"/>
  <c r="F24" i="134"/>
  <c r="C24" i="134"/>
  <c r="B24" i="134"/>
  <c r="U23" i="134"/>
  <c r="R23" i="134"/>
  <c r="O23" i="134"/>
  <c r="L23" i="134"/>
  <c r="I23" i="134"/>
  <c r="F23" i="134"/>
  <c r="S19" i="134"/>
  <c r="P19" i="134"/>
  <c r="R15" i="134" s="1"/>
  <c r="M19" i="134"/>
  <c r="J19" i="134"/>
  <c r="G19" i="134"/>
  <c r="D19" i="134"/>
  <c r="S18" i="134"/>
  <c r="P18" i="134"/>
  <c r="R11" i="134" s="1"/>
  <c r="M18" i="134"/>
  <c r="J18" i="134"/>
  <c r="G18" i="134"/>
  <c r="D18" i="134"/>
  <c r="U17" i="134"/>
  <c r="T17" i="134"/>
  <c r="R17" i="134"/>
  <c r="Q17" i="134"/>
  <c r="O17" i="134"/>
  <c r="N17" i="134"/>
  <c r="L17" i="134"/>
  <c r="K17" i="134"/>
  <c r="I17" i="134"/>
  <c r="H17" i="134"/>
  <c r="D102" i="134" s="1"/>
  <c r="F17" i="134"/>
  <c r="E17" i="134"/>
  <c r="D117" i="134" s="1"/>
  <c r="E117" i="134" s="1"/>
  <c r="U16" i="134"/>
  <c r="T16" i="134"/>
  <c r="R16" i="134"/>
  <c r="Q16" i="134"/>
  <c r="O16" i="134"/>
  <c r="N16" i="134"/>
  <c r="D101" i="134" s="1"/>
  <c r="L16" i="134"/>
  <c r="K16" i="134"/>
  <c r="I16" i="134"/>
  <c r="H16" i="134"/>
  <c r="F16" i="134"/>
  <c r="E16" i="134"/>
  <c r="D116" i="134" s="1"/>
  <c r="T15" i="134"/>
  <c r="Q15" i="134"/>
  <c r="N15" i="134"/>
  <c r="K15" i="134"/>
  <c r="H15" i="134"/>
  <c r="E15" i="134"/>
  <c r="T14" i="134"/>
  <c r="Q14" i="134"/>
  <c r="N14" i="134"/>
  <c r="L14" i="134"/>
  <c r="K14" i="134"/>
  <c r="H14" i="134"/>
  <c r="E14" i="134"/>
  <c r="T13" i="134"/>
  <c r="Q13" i="134"/>
  <c r="N13" i="134"/>
  <c r="K13" i="134"/>
  <c r="H13" i="134"/>
  <c r="E13" i="134"/>
  <c r="T12" i="134"/>
  <c r="Q12" i="134"/>
  <c r="N12" i="134"/>
  <c r="L12" i="134"/>
  <c r="K12" i="134"/>
  <c r="H12" i="134"/>
  <c r="E12" i="134"/>
  <c r="T11" i="134"/>
  <c r="Q11" i="134"/>
  <c r="N11" i="134"/>
  <c r="K11" i="134"/>
  <c r="H11" i="134"/>
  <c r="E11" i="134"/>
  <c r="T10" i="134"/>
  <c r="Q10" i="134"/>
  <c r="N10" i="134"/>
  <c r="L10" i="134"/>
  <c r="K10" i="134"/>
  <c r="H10" i="134"/>
  <c r="E10" i="134"/>
  <c r="T9" i="134"/>
  <c r="R9" i="134"/>
  <c r="Q9" i="134"/>
  <c r="N9" i="134"/>
  <c r="K9" i="134"/>
  <c r="H9" i="134"/>
  <c r="E9" i="134"/>
  <c r="T8" i="134"/>
  <c r="Q8" i="134"/>
  <c r="N8" i="134"/>
  <c r="K8" i="134"/>
  <c r="H8" i="134"/>
  <c r="E8" i="134"/>
  <c r="U7" i="134"/>
  <c r="R7" i="134"/>
  <c r="R14" i="134" s="1"/>
  <c r="O7" i="134"/>
  <c r="L7" i="134"/>
  <c r="L15" i="134" s="1"/>
  <c r="I7" i="134"/>
  <c r="F7" i="134"/>
  <c r="E107" i="134" s="1"/>
  <c r="C148" i="133"/>
  <c r="B148" i="133"/>
  <c r="A148" i="133"/>
  <c r="C147" i="133"/>
  <c r="B147" i="133"/>
  <c r="A147" i="133"/>
  <c r="C146" i="133"/>
  <c r="B146" i="133"/>
  <c r="A146" i="133"/>
  <c r="C145" i="133"/>
  <c r="B145" i="133"/>
  <c r="A145" i="133"/>
  <c r="C144" i="133"/>
  <c r="B144" i="133"/>
  <c r="A144" i="133"/>
  <c r="C143" i="133"/>
  <c r="B143" i="133"/>
  <c r="A143" i="133"/>
  <c r="C142" i="133"/>
  <c r="B142" i="133"/>
  <c r="A142" i="133"/>
  <c r="C141" i="133"/>
  <c r="B141" i="133"/>
  <c r="A141" i="133"/>
  <c r="C140" i="133"/>
  <c r="B140" i="133"/>
  <c r="A140" i="133"/>
  <c r="C139" i="133"/>
  <c r="B139" i="133"/>
  <c r="A139" i="133"/>
  <c r="D138" i="133"/>
  <c r="B124" i="133"/>
  <c r="B128" i="133" s="1"/>
  <c r="C128" i="133" s="1"/>
  <c r="C117" i="133"/>
  <c r="B117" i="133"/>
  <c r="A117" i="133"/>
  <c r="C116" i="133"/>
  <c r="B116" i="133"/>
  <c r="A116" i="133"/>
  <c r="M115" i="133"/>
  <c r="L115" i="133"/>
  <c r="J115" i="133"/>
  <c r="I115" i="133"/>
  <c r="C115" i="133"/>
  <c r="B115" i="133"/>
  <c r="A115" i="133"/>
  <c r="S114" i="133"/>
  <c r="T114" i="133" s="1"/>
  <c r="Q114" i="133"/>
  <c r="O114" i="133"/>
  <c r="M114" i="133"/>
  <c r="L114" i="133"/>
  <c r="J114" i="133"/>
  <c r="I114" i="133"/>
  <c r="C114" i="133"/>
  <c r="B114" i="133"/>
  <c r="A114" i="133"/>
  <c r="S113" i="133"/>
  <c r="T113" i="133" s="1"/>
  <c r="Q113" i="133"/>
  <c r="O113" i="133"/>
  <c r="C113" i="133"/>
  <c r="B113" i="133"/>
  <c r="A113" i="133"/>
  <c r="S112" i="133"/>
  <c r="T112" i="133" s="1"/>
  <c r="Q112" i="133"/>
  <c r="O112" i="133"/>
  <c r="C112" i="133"/>
  <c r="B112" i="133"/>
  <c r="A112" i="133"/>
  <c r="S111" i="133"/>
  <c r="T111" i="133" s="1"/>
  <c r="Q111" i="133"/>
  <c r="P111" i="133"/>
  <c r="G109" i="133" s="1"/>
  <c r="O111" i="133"/>
  <c r="C111" i="133"/>
  <c r="B111" i="133"/>
  <c r="A111" i="133"/>
  <c r="T110" i="133"/>
  <c r="S110" i="133"/>
  <c r="Q110" i="133"/>
  <c r="O110" i="133"/>
  <c r="C110" i="133"/>
  <c r="B110" i="133"/>
  <c r="A110" i="133"/>
  <c r="T109" i="133"/>
  <c r="S109" i="133"/>
  <c r="Q109" i="133"/>
  <c r="O109" i="133"/>
  <c r="L109" i="133"/>
  <c r="M109" i="133" s="1"/>
  <c r="J109" i="133"/>
  <c r="I109" i="133"/>
  <c r="C109" i="133"/>
  <c r="B109" i="133"/>
  <c r="A109" i="133"/>
  <c r="T108" i="133"/>
  <c r="S108" i="133"/>
  <c r="Q108" i="133"/>
  <c r="O108" i="133"/>
  <c r="M108" i="133"/>
  <c r="L108" i="133"/>
  <c r="J108" i="133"/>
  <c r="I108" i="133"/>
  <c r="C108" i="133"/>
  <c r="B108" i="133"/>
  <c r="A108" i="133"/>
  <c r="D107" i="133"/>
  <c r="D102" i="133"/>
  <c r="D148" i="133" s="1"/>
  <c r="C102" i="133"/>
  <c r="B102" i="133"/>
  <c r="A102" i="133"/>
  <c r="C101" i="133"/>
  <c r="B101" i="133"/>
  <c r="A101" i="133"/>
  <c r="C100" i="133"/>
  <c r="B100" i="133"/>
  <c r="A100" i="133"/>
  <c r="C99" i="133"/>
  <c r="B99" i="133"/>
  <c r="A99" i="133"/>
  <c r="C98" i="133"/>
  <c r="B98" i="133"/>
  <c r="A98" i="133"/>
  <c r="C97" i="133"/>
  <c r="B97" i="133"/>
  <c r="A97" i="133"/>
  <c r="C96" i="133"/>
  <c r="B96" i="133"/>
  <c r="A96" i="133"/>
  <c r="C95" i="133"/>
  <c r="B95" i="133"/>
  <c r="A95" i="133"/>
  <c r="C94" i="133"/>
  <c r="B94" i="133"/>
  <c r="A94" i="133"/>
  <c r="C93" i="133"/>
  <c r="B93" i="133"/>
  <c r="A93" i="133"/>
  <c r="D92" i="133"/>
  <c r="S86" i="133"/>
  <c r="P86" i="133"/>
  <c r="M86" i="133"/>
  <c r="J86" i="133"/>
  <c r="G86" i="133"/>
  <c r="D86" i="133"/>
  <c r="S85" i="133"/>
  <c r="P85" i="133"/>
  <c r="M85" i="133"/>
  <c r="J85" i="133"/>
  <c r="G85" i="133"/>
  <c r="D85" i="133"/>
  <c r="U84" i="133"/>
  <c r="T84" i="133"/>
  <c r="R84" i="133"/>
  <c r="Q84" i="133"/>
  <c r="O84" i="133"/>
  <c r="N84" i="133"/>
  <c r="L84" i="133"/>
  <c r="K84" i="133"/>
  <c r="I84" i="133"/>
  <c r="H84" i="133"/>
  <c r="F84" i="133"/>
  <c r="E84" i="133"/>
  <c r="C84" i="133"/>
  <c r="B84" i="133"/>
  <c r="A84" i="133"/>
  <c r="U83" i="133"/>
  <c r="T83" i="133"/>
  <c r="R83" i="133"/>
  <c r="Q83" i="133"/>
  <c r="O83" i="133"/>
  <c r="N83" i="133"/>
  <c r="L83" i="133"/>
  <c r="K83" i="133"/>
  <c r="I83" i="133"/>
  <c r="H83" i="133"/>
  <c r="F83" i="133"/>
  <c r="E83" i="133"/>
  <c r="C83" i="133"/>
  <c r="B83" i="133"/>
  <c r="A83" i="133"/>
  <c r="U82" i="133"/>
  <c r="T82" i="133"/>
  <c r="R82" i="133"/>
  <c r="Q82" i="133"/>
  <c r="O82" i="133"/>
  <c r="N82" i="133"/>
  <c r="L82" i="133"/>
  <c r="K82" i="133"/>
  <c r="I82" i="133"/>
  <c r="H82" i="133"/>
  <c r="F82" i="133"/>
  <c r="E82" i="133"/>
  <c r="C82" i="133"/>
  <c r="B82" i="133"/>
  <c r="A82" i="133"/>
  <c r="U81" i="133"/>
  <c r="T81" i="133"/>
  <c r="R81" i="133"/>
  <c r="Q81" i="133"/>
  <c r="O81" i="133"/>
  <c r="N81" i="133"/>
  <c r="L81" i="133"/>
  <c r="K81" i="133"/>
  <c r="I81" i="133"/>
  <c r="H81" i="133"/>
  <c r="F81" i="133"/>
  <c r="E81" i="133"/>
  <c r="C81" i="133"/>
  <c r="B81" i="133"/>
  <c r="A81" i="133"/>
  <c r="U80" i="133"/>
  <c r="T80" i="133"/>
  <c r="R80" i="133"/>
  <c r="Q80" i="133"/>
  <c r="O80" i="133"/>
  <c r="N80" i="133"/>
  <c r="L80" i="133"/>
  <c r="K80" i="133"/>
  <c r="I80" i="133"/>
  <c r="H80" i="133"/>
  <c r="F80" i="133"/>
  <c r="E80" i="133"/>
  <c r="C80" i="133"/>
  <c r="B80" i="133"/>
  <c r="A80" i="133"/>
  <c r="U79" i="133"/>
  <c r="T79" i="133"/>
  <c r="R79" i="133"/>
  <c r="Q79" i="133"/>
  <c r="O79" i="133"/>
  <c r="N79" i="133"/>
  <c r="L79" i="133"/>
  <c r="K79" i="133"/>
  <c r="I79" i="133"/>
  <c r="H79" i="133"/>
  <c r="F79" i="133"/>
  <c r="E79" i="133"/>
  <c r="C79" i="133"/>
  <c r="B79" i="133"/>
  <c r="A79" i="133"/>
  <c r="U78" i="133"/>
  <c r="T78" i="133"/>
  <c r="R78" i="133"/>
  <c r="Q78" i="133"/>
  <c r="O78" i="133"/>
  <c r="N78" i="133"/>
  <c r="L78" i="133"/>
  <c r="K78" i="133"/>
  <c r="I78" i="133"/>
  <c r="H78" i="133"/>
  <c r="F78" i="133"/>
  <c r="E78" i="133"/>
  <c r="C78" i="133"/>
  <c r="B78" i="133"/>
  <c r="A78" i="133"/>
  <c r="U77" i="133"/>
  <c r="T77" i="133"/>
  <c r="R77" i="133"/>
  <c r="Q77" i="133"/>
  <c r="O77" i="133"/>
  <c r="N77" i="133"/>
  <c r="L77" i="133"/>
  <c r="K77" i="133"/>
  <c r="I77" i="133"/>
  <c r="H77" i="133"/>
  <c r="F77" i="133"/>
  <c r="E77" i="133"/>
  <c r="C77" i="133"/>
  <c r="B77" i="133"/>
  <c r="A77" i="133"/>
  <c r="U76" i="133"/>
  <c r="T76" i="133"/>
  <c r="R76" i="133"/>
  <c r="Q76" i="133"/>
  <c r="O76" i="133"/>
  <c r="N76" i="133"/>
  <c r="L76" i="133"/>
  <c r="K76" i="133"/>
  <c r="I76" i="133"/>
  <c r="H76" i="133"/>
  <c r="F76" i="133"/>
  <c r="E76" i="133"/>
  <c r="C76" i="133"/>
  <c r="B76" i="133"/>
  <c r="A76" i="133"/>
  <c r="U75" i="133"/>
  <c r="T75" i="133"/>
  <c r="R75" i="133"/>
  <c r="Q75" i="133"/>
  <c r="O75" i="133"/>
  <c r="N75" i="133"/>
  <c r="L75" i="133"/>
  <c r="K75" i="133"/>
  <c r="I75" i="133"/>
  <c r="H75" i="133"/>
  <c r="F75" i="133"/>
  <c r="E75" i="133"/>
  <c r="C75" i="133"/>
  <c r="B75" i="133"/>
  <c r="A75" i="133"/>
  <c r="U74" i="133"/>
  <c r="R74" i="133"/>
  <c r="O74" i="133"/>
  <c r="L74" i="133"/>
  <c r="I74" i="133"/>
  <c r="F74" i="133"/>
  <c r="S69" i="133"/>
  <c r="P69" i="133"/>
  <c r="M69" i="133"/>
  <c r="J69" i="133"/>
  <c r="G69" i="133"/>
  <c r="D69" i="133"/>
  <c r="S68" i="133"/>
  <c r="P68" i="133"/>
  <c r="M68" i="133"/>
  <c r="J68" i="133"/>
  <c r="G68" i="133"/>
  <c r="D68" i="133"/>
  <c r="U67" i="133"/>
  <c r="T67" i="133"/>
  <c r="R67" i="133"/>
  <c r="Q67" i="133"/>
  <c r="O67" i="133"/>
  <c r="N67" i="133"/>
  <c r="L67" i="133"/>
  <c r="K67" i="133"/>
  <c r="I67" i="133"/>
  <c r="H67" i="133"/>
  <c r="F67" i="133"/>
  <c r="E67" i="133"/>
  <c r="C67" i="133"/>
  <c r="B67" i="133"/>
  <c r="U66" i="133"/>
  <c r="T66" i="133"/>
  <c r="R66" i="133"/>
  <c r="Q66" i="133"/>
  <c r="O66" i="133"/>
  <c r="N66" i="133"/>
  <c r="L66" i="133"/>
  <c r="K66" i="133"/>
  <c r="I66" i="133"/>
  <c r="H66" i="133"/>
  <c r="F66" i="133"/>
  <c r="E66" i="133"/>
  <c r="C66" i="133"/>
  <c r="B66" i="133"/>
  <c r="U65" i="133"/>
  <c r="T65" i="133"/>
  <c r="R65" i="133"/>
  <c r="Q65" i="133"/>
  <c r="O65" i="133"/>
  <c r="N65" i="133"/>
  <c r="L65" i="133"/>
  <c r="K65" i="133"/>
  <c r="I65" i="133"/>
  <c r="H65" i="133"/>
  <c r="F65" i="133"/>
  <c r="E65" i="133"/>
  <c r="C65" i="133"/>
  <c r="B65" i="133"/>
  <c r="U64" i="133"/>
  <c r="T64" i="133"/>
  <c r="R64" i="133"/>
  <c r="Q64" i="133"/>
  <c r="O64" i="133"/>
  <c r="N64" i="133"/>
  <c r="L64" i="133"/>
  <c r="K64" i="133"/>
  <c r="I64" i="133"/>
  <c r="H64" i="133"/>
  <c r="F64" i="133"/>
  <c r="E64" i="133"/>
  <c r="C64" i="133"/>
  <c r="B64" i="133"/>
  <c r="U63" i="133"/>
  <c r="T63" i="133"/>
  <c r="R63" i="133"/>
  <c r="Q63" i="133"/>
  <c r="O63" i="133"/>
  <c r="N63" i="133"/>
  <c r="L63" i="133"/>
  <c r="K63" i="133"/>
  <c r="I63" i="133"/>
  <c r="H63" i="133"/>
  <c r="F63" i="133"/>
  <c r="E63" i="133"/>
  <c r="C63" i="133"/>
  <c r="B63" i="133"/>
  <c r="U62" i="133"/>
  <c r="T62" i="133"/>
  <c r="R62" i="133"/>
  <c r="Q62" i="133"/>
  <c r="O62" i="133"/>
  <c r="N62" i="133"/>
  <c r="L62" i="133"/>
  <c r="K62" i="133"/>
  <c r="I62" i="133"/>
  <c r="H62" i="133"/>
  <c r="F62" i="133"/>
  <c r="E62" i="133"/>
  <c r="C62" i="133"/>
  <c r="B62" i="133"/>
  <c r="U61" i="133"/>
  <c r="T61" i="133"/>
  <c r="R61" i="133"/>
  <c r="Q61" i="133"/>
  <c r="O61" i="133"/>
  <c r="N61" i="133"/>
  <c r="L61" i="133"/>
  <c r="K61" i="133"/>
  <c r="I61" i="133"/>
  <c r="H61" i="133"/>
  <c r="F61" i="133"/>
  <c r="E61" i="133"/>
  <c r="C61" i="133"/>
  <c r="B61" i="133"/>
  <c r="U60" i="133"/>
  <c r="T60" i="133"/>
  <c r="R60" i="133"/>
  <c r="Q60" i="133"/>
  <c r="O60" i="133"/>
  <c r="N60" i="133"/>
  <c r="L60" i="133"/>
  <c r="K60" i="133"/>
  <c r="I60" i="133"/>
  <c r="H60" i="133"/>
  <c r="F60" i="133"/>
  <c r="E60" i="133"/>
  <c r="C60" i="133"/>
  <c r="B60" i="133"/>
  <c r="U59" i="133"/>
  <c r="T59" i="133"/>
  <c r="R59" i="133"/>
  <c r="Q59" i="133"/>
  <c r="O59" i="133"/>
  <c r="N59" i="133"/>
  <c r="L59" i="133"/>
  <c r="K59" i="133"/>
  <c r="I59" i="133"/>
  <c r="H59" i="133"/>
  <c r="F59" i="133"/>
  <c r="E59" i="133"/>
  <c r="C59" i="133"/>
  <c r="B59" i="133"/>
  <c r="U58" i="133"/>
  <c r="T58" i="133"/>
  <c r="R58" i="133"/>
  <c r="Q58" i="133"/>
  <c r="O58" i="133"/>
  <c r="N58" i="133"/>
  <c r="L58" i="133"/>
  <c r="K58" i="133"/>
  <c r="I58" i="133"/>
  <c r="H58" i="133"/>
  <c r="F58" i="133"/>
  <c r="E58" i="133"/>
  <c r="C58" i="133"/>
  <c r="B58" i="133"/>
  <c r="U57" i="133"/>
  <c r="R57" i="133"/>
  <c r="O57" i="133"/>
  <c r="L57" i="133"/>
  <c r="I57" i="133"/>
  <c r="F57" i="133"/>
  <c r="S52" i="133"/>
  <c r="P52" i="133"/>
  <c r="M52" i="133"/>
  <c r="J52" i="133"/>
  <c r="G52" i="133"/>
  <c r="D52" i="133"/>
  <c r="S51" i="133"/>
  <c r="P51" i="133"/>
  <c r="M51" i="133"/>
  <c r="J51" i="133"/>
  <c r="G51" i="133"/>
  <c r="D51" i="133"/>
  <c r="U50" i="133"/>
  <c r="T50" i="133"/>
  <c r="R50" i="133"/>
  <c r="Q50" i="133"/>
  <c r="O50" i="133"/>
  <c r="N50" i="133"/>
  <c r="L50" i="133"/>
  <c r="K50" i="133"/>
  <c r="I50" i="133"/>
  <c r="H50" i="133"/>
  <c r="F50" i="133"/>
  <c r="E50" i="133"/>
  <c r="C50" i="133"/>
  <c r="B50" i="133"/>
  <c r="U49" i="133"/>
  <c r="T49" i="133"/>
  <c r="R49" i="133"/>
  <c r="Q49" i="133"/>
  <c r="O49" i="133"/>
  <c r="N49" i="133"/>
  <c r="L49" i="133"/>
  <c r="K49" i="133"/>
  <c r="I49" i="133"/>
  <c r="H49" i="133"/>
  <c r="F49" i="133"/>
  <c r="E49" i="133"/>
  <c r="C49" i="133"/>
  <c r="B49" i="133"/>
  <c r="U48" i="133"/>
  <c r="T48" i="133"/>
  <c r="R48" i="133"/>
  <c r="Q48" i="133"/>
  <c r="O48" i="133"/>
  <c r="N48" i="133"/>
  <c r="L48" i="133"/>
  <c r="K48" i="133"/>
  <c r="I48" i="133"/>
  <c r="H48" i="133"/>
  <c r="F48" i="133"/>
  <c r="E48" i="133"/>
  <c r="C48" i="133"/>
  <c r="B48" i="133"/>
  <c r="U47" i="133"/>
  <c r="T47" i="133"/>
  <c r="R47" i="133"/>
  <c r="Q47" i="133"/>
  <c r="O47" i="133"/>
  <c r="N47" i="133"/>
  <c r="L47" i="133"/>
  <c r="K47" i="133"/>
  <c r="I47" i="133"/>
  <c r="H47" i="133"/>
  <c r="F47" i="133"/>
  <c r="E47" i="133"/>
  <c r="C47" i="133"/>
  <c r="B47" i="133"/>
  <c r="U46" i="133"/>
  <c r="T46" i="133"/>
  <c r="R46" i="133"/>
  <c r="Q46" i="133"/>
  <c r="O46" i="133"/>
  <c r="N46" i="133"/>
  <c r="L46" i="133"/>
  <c r="K46" i="133"/>
  <c r="I46" i="133"/>
  <c r="H46" i="133"/>
  <c r="F46" i="133"/>
  <c r="E46" i="133"/>
  <c r="C46" i="133"/>
  <c r="B46" i="133"/>
  <c r="U45" i="133"/>
  <c r="T45" i="133"/>
  <c r="R45" i="133"/>
  <c r="Q45" i="133"/>
  <c r="O45" i="133"/>
  <c r="N45" i="133"/>
  <c r="L45" i="133"/>
  <c r="K45" i="133"/>
  <c r="I45" i="133"/>
  <c r="H45" i="133"/>
  <c r="F45" i="133"/>
  <c r="E45" i="133"/>
  <c r="C45" i="133"/>
  <c r="B45" i="133"/>
  <c r="U44" i="133"/>
  <c r="T44" i="133"/>
  <c r="R44" i="133"/>
  <c r="Q44" i="133"/>
  <c r="O44" i="133"/>
  <c r="N44" i="133"/>
  <c r="L44" i="133"/>
  <c r="K44" i="133"/>
  <c r="I44" i="133"/>
  <c r="H44" i="133"/>
  <c r="F44" i="133"/>
  <c r="E44" i="133"/>
  <c r="C44" i="133"/>
  <c r="B44" i="133"/>
  <c r="U43" i="133"/>
  <c r="T43" i="133"/>
  <c r="R43" i="133"/>
  <c r="Q43" i="133"/>
  <c r="O43" i="133"/>
  <c r="N43" i="133"/>
  <c r="L43" i="133"/>
  <c r="K43" i="133"/>
  <c r="I43" i="133"/>
  <c r="H43" i="133"/>
  <c r="F43" i="133"/>
  <c r="E43" i="133"/>
  <c r="C43" i="133"/>
  <c r="B43" i="133"/>
  <c r="U42" i="133"/>
  <c r="T42" i="133"/>
  <c r="R42" i="133"/>
  <c r="Q42" i="133"/>
  <c r="O42" i="133"/>
  <c r="N42" i="133"/>
  <c r="L42" i="133"/>
  <c r="K42" i="133"/>
  <c r="I42" i="133"/>
  <c r="H42" i="133"/>
  <c r="F42" i="133"/>
  <c r="E42" i="133"/>
  <c r="C42" i="133"/>
  <c r="B42" i="133"/>
  <c r="U41" i="133"/>
  <c r="T41" i="133"/>
  <c r="R41" i="133"/>
  <c r="Q41" i="133"/>
  <c r="O41" i="133"/>
  <c r="N41" i="133"/>
  <c r="L41" i="133"/>
  <c r="K41" i="133"/>
  <c r="I41" i="133"/>
  <c r="H41" i="133"/>
  <c r="F41" i="133"/>
  <c r="E41" i="133"/>
  <c r="C41" i="133"/>
  <c r="B41" i="133"/>
  <c r="U40" i="133"/>
  <c r="R40" i="133"/>
  <c r="O40" i="133"/>
  <c r="L40" i="133"/>
  <c r="I40" i="133"/>
  <c r="F40" i="133"/>
  <c r="S35" i="133"/>
  <c r="P35" i="133"/>
  <c r="M35" i="133"/>
  <c r="J35" i="133"/>
  <c r="G35" i="133"/>
  <c r="D35" i="133"/>
  <c r="S34" i="133"/>
  <c r="P34" i="133"/>
  <c r="M34" i="133"/>
  <c r="J34" i="133"/>
  <c r="G34" i="133"/>
  <c r="D34" i="133"/>
  <c r="U33" i="133"/>
  <c r="T33" i="133"/>
  <c r="R33" i="133"/>
  <c r="Q33" i="133"/>
  <c r="O33" i="133"/>
  <c r="N33" i="133"/>
  <c r="L33" i="133"/>
  <c r="K33" i="133"/>
  <c r="I33" i="133"/>
  <c r="H33" i="133"/>
  <c r="F33" i="133"/>
  <c r="E33" i="133"/>
  <c r="C33" i="133"/>
  <c r="B33" i="133"/>
  <c r="U32" i="133"/>
  <c r="T32" i="133"/>
  <c r="R32" i="133"/>
  <c r="Q32" i="133"/>
  <c r="O32" i="133"/>
  <c r="N32" i="133"/>
  <c r="L32" i="133"/>
  <c r="K32" i="133"/>
  <c r="I32" i="133"/>
  <c r="H32" i="133"/>
  <c r="F32" i="133"/>
  <c r="E32" i="133"/>
  <c r="C32" i="133"/>
  <c r="B32" i="133"/>
  <c r="U31" i="133"/>
  <c r="T31" i="133"/>
  <c r="R31" i="133"/>
  <c r="Q31" i="133"/>
  <c r="O31" i="133"/>
  <c r="N31" i="133"/>
  <c r="L31" i="133"/>
  <c r="K31" i="133"/>
  <c r="I31" i="133"/>
  <c r="H31" i="133"/>
  <c r="F31" i="133"/>
  <c r="E31" i="133"/>
  <c r="C31" i="133"/>
  <c r="B31" i="133"/>
  <c r="U30" i="133"/>
  <c r="T30" i="133"/>
  <c r="R30" i="133"/>
  <c r="Q30" i="133"/>
  <c r="O30" i="133"/>
  <c r="N30" i="133"/>
  <c r="L30" i="133"/>
  <c r="K30" i="133"/>
  <c r="I30" i="133"/>
  <c r="H30" i="133"/>
  <c r="F30" i="133"/>
  <c r="E30" i="133"/>
  <c r="C30" i="133"/>
  <c r="B30" i="133"/>
  <c r="U29" i="133"/>
  <c r="T29" i="133"/>
  <c r="R29" i="133"/>
  <c r="Q29" i="133"/>
  <c r="O29" i="133"/>
  <c r="N29" i="133"/>
  <c r="L29" i="133"/>
  <c r="K29" i="133"/>
  <c r="I29" i="133"/>
  <c r="H29" i="133"/>
  <c r="F29" i="133"/>
  <c r="E29" i="133"/>
  <c r="C29" i="133"/>
  <c r="B29" i="133"/>
  <c r="U28" i="133"/>
  <c r="T28" i="133"/>
  <c r="R28" i="133"/>
  <c r="Q28" i="133"/>
  <c r="O28" i="133"/>
  <c r="N28" i="133"/>
  <c r="L28" i="133"/>
  <c r="K28" i="133"/>
  <c r="I28" i="133"/>
  <c r="H28" i="133"/>
  <c r="F28" i="133"/>
  <c r="E28" i="133"/>
  <c r="C28" i="133"/>
  <c r="B28" i="133"/>
  <c r="U27" i="133"/>
  <c r="T27" i="133"/>
  <c r="R27" i="133"/>
  <c r="Q27" i="133"/>
  <c r="O27" i="133"/>
  <c r="N27" i="133"/>
  <c r="L27" i="133"/>
  <c r="K27" i="133"/>
  <c r="I27" i="133"/>
  <c r="H27" i="133"/>
  <c r="F27" i="133"/>
  <c r="E27" i="133"/>
  <c r="C27" i="133"/>
  <c r="B27" i="133"/>
  <c r="U26" i="133"/>
  <c r="T26" i="133"/>
  <c r="R26" i="133"/>
  <c r="Q26" i="133"/>
  <c r="O26" i="133"/>
  <c r="N26" i="133"/>
  <c r="L26" i="133"/>
  <c r="K26" i="133"/>
  <c r="I26" i="133"/>
  <c r="H26" i="133"/>
  <c r="F26" i="133"/>
  <c r="E26" i="133"/>
  <c r="C26" i="133"/>
  <c r="B26" i="133"/>
  <c r="U25" i="133"/>
  <c r="T25" i="133"/>
  <c r="R25" i="133"/>
  <c r="Q25" i="133"/>
  <c r="O25" i="133"/>
  <c r="N25" i="133"/>
  <c r="L25" i="133"/>
  <c r="K25" i="133"/>
  <c r="I25" i="133"/>
  <c r="H25" i="133"/>
  <c r="F25" i="133"/>
  <c r="E25" i="133"/>
  <c r="C25" i="133"/>
  <c r="B25" i="133"/>
  <c r="U24" i="133"/>
  <c r="T24" i="133"/>
  <c r="R24" i="133"/>
  <c r="Q24" i="133"/>
  <c r="O24" i="133"/>
  <c r="N24" i="133"/>
  <c r="L24" i="133"/>
  <c r="K24" i="133"/>
  <c r="I24" i="133"/>
  <c r="H24" i="133"/>
  <c r="F24" i="133"/>
  <c r="E24" i="133"/>
  <c r="C24" i="133"/>
  <c r="B24" i="133"/>
  <c r="U23" i="133"/>
  <c r="R23" i="133"/>
  <c r="O23" i="133"/>
  <c r="L23" i="133"/>
  <c r="I23" i="133"/>
  <c r="F23" i="133"/>
  <c r="S19" i="133"/>
  <c r="P19" i="133"/>
  <c r="R14" i="133" s="1"/>
  <c r="M19" i="133"/>
  <c r="J19" i="133"/>
  <c r="G19" i="133"/>
  <c r="D19" i="133"/>
  <c r="S18" i="133"/>
  <c r="P18" i="133"/>
  <c r="M18" i="133"/>
  <c r="J18" i="133"/>
  <c r="G18" i="133"/>
  <c r="I16" i="133" s="1"/>
  <c r="D18" i="133"/>
  <c r="U17" i="133"/>
  <c r="T17" i="133"/>
  <c r="R17" i="133"/>
  <c r="Q17" i="133"/>
  <c r="O17" i="133"/>
  <c r="N17" i="133"/>
  <c r="L17" i="133"/>
  <c r="K17" i="133"/>
  <c r="I17" i="133"/>
  <c r="H17" i="133"/>
  <c r="F17" i="133"/>
  <c r="E17" i="133"/>
  <c r="D117" i="133" s="1"/>
  <c r="E117" i="133" s="1"/>
  <c r="U16" i="133"/>
  <c r="T16" i="133"/>
  <c r="Q16" i="133"/>
  <c r="O16" i="133"/>
  <c r="N16" i="133"/>
  <c r="L16" i="133"/>
  <c r="K16" i="133"/>
  <c r="H16" i="133"/>
  <c r="F16" i="133"/>
  <c r="E16" i="133"/>
  <c r="T15" i="133"/>
  <c r="Q15" i="133"/>
  <c r="N15" i="133"/>
  <c r="K15" i="133"/>
  <c r="H15" i="133"/>
  <c r="F15" i="133"/>
  <c r="E15" i="133"/>
  <c r="T14" i="133"/>
  <c r="Q14" i="133"/>
  <c r="N14" i="133"/>
  <c r="L14" i="133"/>
  <c r="K14" i="133"/>
  <c r="H14" i="133"/>
  <c r="E14" i="133"/>
  <c r="T13" i="133"/>
  <c r="Q13" i="133"/>
  <c r="N13" i="133"/>
  <c r="K13" i="133"/>
  <c r="H13" i="133"/>
  <c r="F13" i="133"/>
  <c r="E13" i="133"/>
  <c r="T12" i="133"/>
  <c r="Q12" i="133"/>
  <c r="N12" i="133"/>
  <c r="L12" i="133"/>
  <c r="K12" i="133"/>
  <c r="H12" i="133"/>
  <c r="E12" i="133"/>
  <c r="T11" i="133"/>
  <c r="R11" i="133"/>
  <c r="Q11" i="133"/>
  <c r="N11" i="133"/>
  <c r="K11" i="133"/>
  <c r="H11" i="133"/>
  <c r="E11" i="133"/>
  <c r="T10" i="133"/>
  <c r="Q10" i="133"/>
  <c r="N10" i="133"/>
  <c r="K10" i="133"/>
  <c r="H10" i="133"/>
  <c r="E10" i="133"/>
  <c r="T9" i="133"/>
  <c r="Q9" i="133"/>
  <c r="N9" i="133"/>
  <c r="K9" i="133"/>
  <c r="H9" i="133"/>
  <c r="E9" i="133"/>
  <c r="T8" i="133"/>
  <c r="Q8" i="133"/>
  <c r="N8" i="133"/>
  <c r="K8" i="133"/>
  <c r="H8" i="133"/>
  <c r="E8" i="133"/>
  <c r="U7" i="133"/>
  <c r="R7" i="133"/>
  <c r="O7" i="133"/>
  <c r="L7" i="133"/>
  <c r="L15" i="133" s="1"/>
  <c r="I7" i="133"/>
  <c r="F7" i="133"/>
  <c r="E107" i="133" s="1"/>
  <c r="F7" i="132"/>
  <c r="I7" i="132"/>
  <c r="L7" i="132"/>
  <c r="O7" i="132"/>
  <c r="R7" i="132"/>
  <c r="U7" i="132"/>
  <c r="E8" i="132"/>
  <c r="H8" i="132"/>
  <c r="K8" i="132"/>
  <c r="N8" i="132"/>
  <c r="Q8" i="132"/>
  <c r="T8" i="132"/>
  <c r="E9" i="132"/>
  <c r="H9" i="132"/>
  <c r="K9" i="132"/>
  <c r="L9" i="132"/>
  <c r="N9" i="132"/>
  <c r="Q9" i="132"/>
  <c r="T9" i="132"/>
  <c r="E10" i="132"/>
  <c r="H10" i="132"/>
  <c r="K10" i="132"/>
  <c r="N10" i="132"/>
  <c r="Q10" i="132"/>
  <c r="T10" i="132"/>
  <c r="E11" i="132"/>
  <c r="H11" i="132"/>
  <c r="K11" i="132"/>
  <c r="N11" i="132"/>
  <c r="Q11" i="132"/>
  <c r="T11" i="132"/>
  <c r="E12" i="132"/>
  <c r="H12" i="132"/>
  <c r="K12" i="132"/>
  <c r="L12" i="132"/>
  <c r="N12" i="132"/>
  <c r="O12" i="132"/>
  <c r="Q12" i="132"/>
  <c r="T12" i="132"/>
  <c r="E13" i="132"/>
  <c r="H13" i="132"/>
  <c r="K13" i="132"/>
  <c r="L13" i="132"/>
  <c r="N13" i="132"/>
  <c r="Q13" i="132"/>
  <c r="T13" i="132"/>
  <c r="E14" i="132"/>
  <c r="H14" i="132"/>
  <c r="K14" i="132"/>
  <c r="L14" i="132"/>
  <c r="N14" i="132"/>
  <c r="O14" i="132"/>
  <c r="Q14" i="132"/>
  <c r="T14" i="132"/>
  <c r="E15" i="132"/>
  <c r="H15" i="132"/>
  <c r="K15" i="132"/>
  <c r="L15" i="132"/>
  <c r="N15" i="132"/>
  <c r="Q15" i="132"/>
  <c r="T15" i="132"/>
  <c r="E16" i="132"/>
  <c r="D116" i="132" s="1"/>
  <c r="F16" i="132"/>
  <c r="H16" i="132"/>
  <c r="I16" i="132"/>
  <c r="K16" i="132"/>
  <c r="L16" i="132"/>
  <c r="N16" i="132"/>
  <c r="O16" i="132"/>
  <c r="Q16" i="132"/>
  <c r="R16" i="132"/>
  <c r="T16" i="132"/>
  <c r="U16" i="132"/>
  <c r="E17" i="132"/>
  <c r="F17" i="132"/>
  <c r="H17" i="132"/>
  <c r="D117" i="132" s="1"/>
  <c r="E117" i="132" s="1"/>
  <c r="I17" i="132"/>
  <c r="K17" i="132"/>
  <c r="L17" i="132"/>
  <c r="N17" i="132"/>
  <c r="O17" i="132"/>
  <c r="Q17" i="132"/>
  <c r="R17" i="132"/>
  <c r="T17" i="132"/>
  <c r="U17" i="132"/>
  <c r="D18" i="132"/>
  <c r="G18" i="132"/>
  <c r="J18" i="132"/>
  <c r="M18" i="132"/>
  <c r="P18" i="132"/>
  <c r="S18" i="132"/>
  <c r="D19" i="132"/>
  <c r="F9" i="132" s="1"/>
  <c r="G19" i="132"/>
  <c r="J19" i="132"/>
  <c r="M19" i="132"/>
  <c r="O9" i="132" s="1"/>
  <c r="P19" i="132"/>
  <c r="R9" i="132" s="1"/>
  <c r="S19" i="132"/>
  <c r="U8" i="132" s="1"/>
  <c r="F23" i="132"/>
  <c r="I23" i="132"/>
  <c r="E107" i="132" s="1"/>
  <c r="L23" i="132"/>
  <c r="O23" i="132"/>
  <c r="R23" i="132"/>
  <c r="U23" i="132"/>
  <c r="B24" i="132"/>
  <c r="C24" i="132"/>
  <c r="E24" i="132"/>
  <c r="F24" i="132"/>
  <c r="H24" i="132"/>
  <c r="I24" i="132"/>
  <c r="K24" i="132"/>
  <c r="L24" i="132"/>
  <c r="N24" i="132"/>
  <c r="O24" i="132"/>
  <c r="Q24" i="132"/>
  <c r="R24" i="132"/>
  <c r="T24" i="132"/>
  <c r="U24" i="132"/>
  <c r="B25" i="132"/>
  <c r="C25" i="132"/>
  <c r="E25" i="132"/>
  <c r="F25" i="132"/>
  <c r="H25" i="132"/>
  <c r="I25" i="132"/>
  <c r="K25" i="132"/>
  <c r="L25" i="132"/>
  <c r="N25" i="132"/>
  <c r="O25" i="132"/>
  <c r="Q25" i="132"/>
  <c r="R25" i="132"/>
  <c r="T25" i="132"/>
  <c r="U25" i="132"/>
  <c r="B26" i="132"/>
  <c r="C26" i="132"/>
  <c r="E26" i="132"/>
  <c r="F26" i="132"/>
  <c r="H26" i="132"/>
  <c r="I26" i="132"/>
  <c r="K26" i="132"/>
  <c r="L26" i="132"/>
  <c r="N26" i="132"/>
  <c r="O26" i="132"/>
  <c r="Q26" i="132"/>
  <c r="R26" i="132"/>
  <c r="T26" i="132"/>
  <c r="U26" i="132"/>
  <c r="B27" i="132"/>
  <c r="C27" i="132"/>
  <c r="E27" i="132"/>
  <c r="F27" i="132"/>
  <c r="H27" i="132"/>
  <c r="I27" i="132"/>
  <c r="K27" i="132"/>
  <c r="L27" i="132"/>
  <c r="N27" i="132"/>
  <c r="O27" i="132"/>
  <c r="Q27" i="132"/>
  <c r="R27" i="132"/>
  <c r="T27" i="132"/>
  <c r="U27" i="132"/>
  <c r="B28" i="132"/>
  <c r="C28" i="132"/>
  <c r="E28" i="132"/>
  <c r="F28" i="132"/>
  <c r="H28" i="132"/>
  <c r="I28" i="132"/>
  <c r="K28" i="132"/>
  <c r="L28" i="132"/>
  <c r="N28" i="132"/>
  <c r="O28" i="132"/>
  <c r="Q28" i="132"/>
  <c r="R28" i="132"/>
  <c r="T28" i="132"/>
  <c r="U28" i="132"/>
  <c r="B29" i="132"/>
  <c r="C29" i="132"/>
  <c r="E29" i="132"/>
  <c r="F29" i="132"/>
  <c r="H29" i="132"/>
  <c r="I29" i="132"/>
  <c r="K29" i="132"/>
  <c r="L29" i="132"/>
  <c r="N29" i="132"/>
  <c r="O29" i="132"/>
  <c r="Q29" i="132"/>
  <c r="R29" i="132"/>
  <c r="T29" i="132"/>
  <c r="U29" i="132"/>
  <c r="B30" i="132"/>
  <c r="C30" i="132"/>
  <c r="E30" i="132"/>
  <c r="F30" i="132"/>
  <c r="H30" i="132"/>
  <c r="I30" i="132"/>
  <c r="K30" i="132"/>
  <c r="L30" i="132"/>
  <c r="N30" i="132"/>
  <c r="O30" i="132"/>
  <c r="Q30" i="132"/>
  <c r="R30" i="132"/>
  <c r="T30" i="132"/>
  <c r="U30" i="132"/>
  <c r="B31" i="132"/>
  <c r="C31" i="132"/>
  <c r="E31" i="132"/>
  <c r="F31" i="132"/>
  <c r="H31" i="132"/>
  <c r="I31" i="132"/>
  <c r="K31" i="132"/>
  <c r="L31" i="132"/>
  <c r="N31" i="132"/>
  <c r="O31" i="132"/>
  <c r="Q31" i="132"/>
  <c r="R31" i="132"/>
  <c r="T31" i="132"/>
  <c r="U31" i="132"/>
  <c r="B32" i="132"/>
  <c r="C32" i="132"/>
  <c r="E32" i="132"/>
  <c r="F32" i="132"/>
  <c r="H32" i="132"/>
  <c r="I32" i="132"/>
  <c r="K32" i="132"/>
  <c r="L32" i="132"/>
  <c r="N32" i="132"/>
  <c r="O32" i="132"/>
  <c r="Q32" i="132"/>
  <c r="R32" i="132"/>
  <c r="T32" i="132"/>
  <c r="U32" i="132"/>
  <c r="B33" i="132"/>
  <c r="C33" i="132"/>
  <c r="E33" i="132"/>
  <c r="F33" i="132"/>
  <c r="H33" i="132"/>
  <c r="I33" i="132"/>
  <c r="K33" i="132"/>
  <c r="L33" i="132"/>
  <c r="N33" i="132"/>
  <c r="O33" i="132"/>
  <c r="Q33" i="132"/>
  <c r="R33" i="132"/>
  <c r="T33" i="132"/>
  <c r="U33" i="132"/>
  <c r="D34" i="132"/>
  <c r="G34" i="132"/>
  <c r="J34" i="132"/>
  <c r="M34" i="132"/>
  <c r="P34" i="132"/>
  <c r="S34" i="132"/>
  <c r="D35" i="132"/>
  <c r="G35" i="132"/>
  <c r="J35" i="132"/>
  <c r="M35" i="132"/>
  <c r="P35" i="132"/>
  <c r="S35" i="132"/>
  <c r="F40" i="132"/>
  <c r="I40" i="132"/>
  <c r="L40" i="132"/>
  <c r="O40" i="132"/>
  <c r="R40" i="132"/>
  <c r="U40" i="132"/>
  <c r="B41" i="132"/>
  <c r="C41" i="132"/>
  <c r="E41" i="132"/>
  <c r="F41" i="132"/>
  <c r="H41" i="132"/>
  <c r="I41" i="132"/>
  <c r="K41" i="132"/>
  <c r="L41" i="132"/>
  <c r="N41" i="132"/>
  <c r="O41" i="132"/>
  <c r="Q41" i="132"/>
  <c r="R41" i="132"/>
  <c r="T41" i="132"/>
  <c r="U41" i="132"/>
  <c r="B42" i="132"/>
  <c r="C42" i="132"/>
  <c r="E42" i="132"/>
  <c r="F42" i="132"/>
  <c r="H42" i="132"/>
  <c r="I42" i="132"/>
  <c r="K42" i="132"/>
  <c r="L42" i="132"/>
  <c r="N42" i="132"/>
  <c r="O42" i="132"/>
  <c r="Q42" i="132"/>
  <c r="R42" i="132"/>
  <c r="T42" i="132"/>
  <c r="U42" i="132"/>
  <c r="B43" i="132"/>
  <c r="C43" i="132"/>
  <c r="E43" i="132"/>
  <c r="F43" i="132"/>
  <c r="H43" i="132"/>
  <c r="I43" i="132"/>
  <c r="K43" i="132"/>
  <c r="L43" i="132"/>
  <c r="N43" i="132"/>
  <c r="O43" i="132"/>
  <c r="Q43" i="132"/>
  <c r="R43" i="132"/>
  <c r="T43" i="132"/>
  <c r="U43" i="132"/>
  <c r="B44" i="132"/>
  <c r="C44" i="132"/>
  <c r="E44" i="132"/>
  <c r="F44" i="132"/>
  <c r="H44" i="132"/>
  <c r="I44" i="132"/>
  <c r="K44" i="132"/>
  <c r="L44" i="132"/>
  <c r="N44" i="132"/>
  <c r="O44" i="132"/>
  <c r="Q44" i="132"/>
  <c r="R44" i="132"/>
  <c r="T44" i="132"/>
  <c r="U44" i="132"/>
  <c r="B45" i="132"/>
  <c r="C45" i="132"/>
  <c r="E45" i="132"/>
  <c r="F45" i="132"/>
  <c r="H45" i="132"/>
  <c r="I45" i="132"/>
  <c r="K45" i="132"/>
  <c r="L45" i="132"/>
  <c r="N45" i="132"/>
  <c r="O45" i="132"/>
  <c r="Q45" i="132"/>
  <c r="R45" i="132"/>
  <c r="T45" i="132"/>
  <c r="U45" i="132"/>
  <c r="B46" i="132"/>
  <c r="C46" i="132"/>
  <c r="E46" i="132"/>
  <c r="F46" i="132"/>
  <c r="H46" i="132"/>
  <c r="I46" i="132"/>
  <c r="K46" i="132"/>
  <c r="L46" i="132"/>
  <c r="N46" i="132"/>
  <c r="O46" i="132"/>
  <c r="Q46" i="132"/>
  <c r="R46" i="132"/>
  <c r="T46" i="132"/>
  <c r="U46" i="132"/>
  <c r="B47" i="132"/>
  <c r="C47" i="132"/>
  <c r="E47" i="132"/>
  <c r="F47" i="132"/>
  <c r="H47" i="132"/>
  <c r="I47" i="132"/>
  <c r="K47" i="132"/>
  <c r="L47" i="132"/>
  <c r="N47" i="132"/>
  <c r="O47" i="132"/>
  <c r="Q47" i="132"/>
  <c r="R47" i="132"/>
  <c r="T47" i="132"/>
  <c r="U47" i="132"/>
  <c r="B48" i="132"/>
  <c r="C48" i="132"/>
  <c r="E48" i="132"/>
  <c r="F48" i="132"/>
  <c r="H48" i="132"/>
  <c r="I48" i="132"/>
  <c r="K48" i="132"/>
  <c r="L48" i="132"/>
  <c r="N48" i="132"/>
  <c r="O48" i="132"/>
  <c r="Q48" i="132"/>
  <c r="R48" i="132"/>
  <c r="T48" i="132"/>
  <c r="U48" i="132"/>
  <c r="B49" i="132"/>
  <c r="C49" i="132"/>
  <c r="E49" i="132"/>
  <c r="F49" i="132"/>
  <c r="H49" i="132"/>
  <c r="I49" i="132"/>
  <c r="K49" i="132"/>
  <c r="L49" i="132"/>
  <c r="N49" i="132"/>
  <c r="O49" i="132"/>
  <c r="Q49" i="132"/>
  <c r="R49" i="132"/>
  <c r="T49" i="132"/>
  <c r="U49" i="132"/>
  <c r="B50" i="132"/>
  <c r="C50" i="132"/>
  <c r="E50" i="132"/>
  <c r="F50" i="132"/>
  <c r="H50" i="132"/>
  <c r="I50" i="132"/>
  <c r="K50" i="132"/>
  <c r="L50" i="132"/>
  <c r="N50" i="132"/>
  <c r="O50" i="132"/>
  <c r="Q50" i="132"/>
  <c r="R50" i="132"/>
  <c r="T50" i="132"/>
  <c r="U50" i="132"/>
  <c r="D51" i="132"/>
  <c r="G51" i="132"/>
  <c r="J51" i="132"/>
  <c r="M51" i="132"/>
  <c r="P51" i="132"/>
  <c r="S51" i="132"/>
  <c r="D52" i="132"/>
  <c r="G52" i="132"/>
  <c r="J52" i="132"/>
  <c r="M52" i="132"/>
  <c r="P52" i="132"/>
  <c r="S52" i="132"/>
  <c r="F57" i="132"/>
  <c r="I57" i="132"/>
  <c r="L57" i="132"/>
  <c r="O57" i="132"/>
  <c r="R57" i="132"/>
  <c r="U57" i="132"/>
  <c r="B58" i="132"/>
  <c r="C58" i="132"/>
  <c r="E58" i="132"/>
  <c r="F58" i="132"/>
  <c r="H58" i="132"/>
  <c r="I58" i="132"/>
  <c r="K58" i="132"/>
  <c r="L58" i="132"/>
  <c r="N58" i="132"/>
  <c r="O58" i="132"/>
  <c r="Q58" i="132"/>
  <c r="R58" i="132"/>
  <c r="T58" i="132"/>
  <c r="U58" i="132"/>
  <c r="B59" i="132"/>
  <c r="C59" i="132"/>
  <c r="E59" i="132"/>
  <c r="F59" i="132"/>
  <c r="H59" i="132"/>
  <c r="I59" i="132"/>
  <c r="K59" i="132"/>
  <c r="L59" i="132"/>
  <c r="N59" i="132"/>
  <c r="O59" i="132"/>
  <c r="Q59" i="132"/>
  <c r="R59" i="132"/>
  <c r="T59" i="132"/>
  <c r="U59" i="132"/>
  <c r="B60" i="132"/>
  <c r="C60" i="132"/>
  <c r="E60" i="132"/>
  <c r="F60" i="132"/>
  <c r="H60" i="132"/>
  <c r="I60" i="132"/>
  <c r="K60" i="132"/>
  <c r="L60" i="132"/>
  <c r="N60" i="132"/>
  <c r="O60" i="132"/>
  <c r="Q60" i="132"/>
  <c r="R60" i="132"/>
  <c r="T60" i="132"/>
  <c r="U60" i="132"/>
  <c r="B61" i="132"/>
  <c r="C61" i="132"/>
  <c r="E61" i="132"/>
  <c r="F61" i="132"/>
  <c r="H61" i="132"/>
  <c r="I61" i="132"/>
  <c r="K61" i="132"/>
  <c r="L61" i="132"/>
  <c r="N61" i="132"/>
  <c r="O61" i="132"/>
  <c r="Q61" i="132"/>
  <c r="R61" i="132"/>
  <c r="T61" i="132"/>
  <c r="U61" i="132"/>
  <c r="B62" i="132"/>
  <c r="C62" i="132"/>
  <c r="E62" i="132"/>
  <c r="F62" i="132"/>
  <c r="H62" i="132"/>
  <c r="I62" i="132"/>
  <c r="K62" i="132"/>
  <c r="L62" i="132"/>
  <c r="N62" i="132"/>
  <c r="O62" i="132"/>
  <c r="Q62" i="132"/>
  <c r="R62" i="132"/>
  <c r="T62" i="132"/>
  <c r="U62" i="132"/>
  <c r="B63" i="132"/>
  <c r="C63" i="132"/>
  <c r="E63" i="132"/>
  <c r="F63" i="132"/>
  <c r="H63" i="132"/>
  <c r="I63" i="132"/>
  <c r="K63" i="132"/>
  <c r="L63" i="132"/>
  <c r="N63" i="132"/>
  <c r="O63" i="132"/>
  <c r="Q63" i="132"/>
  <c r="R63" i="132"/>
  <c r="T63" i="132"/>
  <c r="U63" i="132"/>
  <c r="B64" i="132"/>
  <c r="C64" i="132"/>
  <c r="E64" i="132"/>
  <c r="F64" i="132"/>
  <c r="H64" i="132"/>
  <c r="I64" i="132"/>
  <c r="K64" i="132"/>
  <c r="L64" i="132"/>
  <c r="N64" i="132"/>
  <c r="O64" i="132"/>
  <c r="Q64" i="132"/>
  <c r="R64" i="132"/>
  <c r="T64" i="132"/>
  <c r="U64" i="132"/>
  <c r="B65" i="132"/>
  <c r="C65" i="132"/>
  <c r="E65" i="132"/>
  <c r="F65" i="132"/>
  <c r="H65" i="132"/>
  <c r="I65" i="132"/>
  <c r="K65" i="132"/>
  <c r="L65" i="132"/>
  <c r="N65" i="132"/>
  <c r="O65" i="132"/>
  <c r="Q65" i="132"/>
  <c r="R65" i="132"/>
  <c r="T65" i="132"/>
  <c r="U65" i="132"/>
  <c r="B66" i="132"/>
  <c r="C66" i="132"/>
  <c r="E66" i="132"/>
  <c r="D101" i="132" s="1"/>
  <c r="F66" i="132"/>
  <c r="H66" i="132"/>
  <c r="I66" i="132"/>
  <c r="K66" i="132"/>
  <c r="L66" i="132"/>
  <c r="N66" i="132"/>
  <c r="O66" i="132"/>
  <c r="Q66" i="132"/>
  <c r="R66" i="132"/>
  <c r="T66" i="132"/>
  <c r="U66" i="132"/>
  <c r="B67" i="132"/>
  <c r="C67" i="132"/>
  <c r="E67" i="132"/>
  <c r="D102" i="132" s="1"/>
  <c r="F67" i="132"/>
  <c r="H67" i="132"/>
  <c r="I67" i="132"/>
  <c r="K67" i="132"/>
  <c r="L67" i="132"/>
  <c r="N67" i="132"/>
  <c r="O67" i="132"/>
  <c r="Q67" i="132"/>
  <c r="R67" i="132"/>
  <c r="T67" i="132"/>
  <c r="U67" i="132"/>
  <c r="D68" i="132"/>
  <c r="G68" i="132"/>
  <c r="J68" i="132"/>
  <c r="M68" i="132"/>
  <c r="P68" i="132"/>
  <c r="S68" i="132"/>
  <c r="D69" i="132"/>
  <c r="G69" i="132"/>
  <c r="J69" i="132"/>
  <c r="M69" i="132"/>
  <c r="P69" i="132"/>
  <c r="S69" i="132"/>
  <c r="F74" i="132"/>
  <c r="I74" i="132"/>
  <c r="L74" i="132"/>
  <c r="O74" i="132"/>
  <c r="R74" i="132"/>
  <c r="U74" i="132"/>
  <c r="A75" i="132"/>
  <c r="B75" i="132"/>
  <c r="C75" i="132"/>
  <c r="E75" i="132"/>
  <c r="F75" i="132"/>
  <c r="H75" i="132"/>
  <c r="I75" i="132"/>
  <c r="K75" i="132"/>
  <c r="L75" i="132"/>
  <c r="N75" i="132"/>
  <c r="O75" i="132"/>
  <c r="Q75" i="132"/>
  <c r="R75" i="132"/>
  <c r="T75" i="132"/>
  <c r="U75" i="132"/>
  <c r="A76" i="132"/>
  <c r="B76" i="132"/>
  <c r="C76" i="132"/>
  <c r="E76" i="132"/>
  <c r="F76" i="132"/>
  <c r="H76" i="132"/>
  <c r="I76" i="132"/>
  <c r="K76" i="132"/>
  <c r="L76" i="132"/>
  <c r="N76" i="132"/>
  <c r="O76" i="132"/>
  <c r="Q76" i="132"/>
  <c r="R76" i="132"/>
  <c r="T76" i="132"/>
  <c r="U76" i="132"/>
  <c r="A77" i="132"/>
  <c r="B77" i="132"/>
  <c r="C77" i="132"/>
  <c r="E77" i="132"/>
  <c r="F77" i="132"/>
  <c r="H77" i="132"/>
  <c r="I77" i="132"/>
  <c r="K77" i="132"/>
  <c r="L77" i="132"/>
  <c r="N77" i="132"/>
  <c r="O77" i="132"/>
  <c r="Q77" i="132"/>
  <c r="R77" i="132"/>
  <c r="T77" i="132"/>
  <c r="U77" i="132"/>
  <c r="A78" i="132"/>
  <c r="B78" i="132"/>
  <c r="C78" i="132"/>
  <c r="E78" i="132"/>
  <c r="F78" i="132"/>
  <c r="H78" i="132"/>
  <c r="I78" i="132"/>
  <c r="K78" i="132"/>
  <c r="L78" i="132"/>
  <c r="N78" i="132"/>
  <c r="O78" i="132"/>
  <c r="Q78" i="132"/>
  <c r="R78" i="132"/>
  <c r="T78" i="132"/>
  <c r="U78" i="132"/>
  <c r="A79" i="132"/>
  <c r="B79" i="132"/>
  <c r="C79" i="132"/>
  <c r="E79" i="132"/>
  <c r="F79" i="132"/>
  <c r="H79" i="132"/>
  <c r="I79" i="132"/>
  <c r="K79" i="132"/>
  <c r="L79" i="132"/>
  <c r="N79" i="132"/>
  <c r="O79" i="132"/>
  <c r="Q79" i="132"/>
  <c r="R79" i="132"/>
  <c r="T79" i="132"/>
  <c r="U79" i="132"/>
  <c r="A80" i="132"/>
  <c r="B80" i="132"/>
  <c r="C80" i="132"/>
  <c r="E80" i="132"/>
  <c r="F80" i="132"/>
  <c r="H80" i="132"/>
  <c r="I80" i="132"/>
  <c r="K80" i="132"/>
  <c r="L80" i="132"/>
  <c r="N80" i="132"/>
  <c r="O80" i="132"/>
  <c r="Q80" i="132"/>
  <c r="R80" i="132"/>
  <c r="T80" i="132"/>
  <c r="U80" i="132"/>
  <c r="A81" i="132"/>
  <c r="B81" i="132"/>
  <c r="C81" i="132"/>
  <c r="E81" i="132"/>
  <c r="F81" i="132"/>
  <c r="H81" i="132"/>
  <c r="I81" i="132"/>
  <c r="K81" i="132"/>
  <c r="L81" i="132"/>
  <c r="N81" i="132"/>
  <c r="O81" i="132"/>
  <c r="Q81" i="132"/>
  <c r="R81" i="132"/>
  <c r="T81" i="132"/>
  <c r="U81" i="132"/>
  <c r="A82" i="132"/>
  <c r="B82" i="132"/>
  <c r="C82" i="132"/>
  <c r="E82" i="132"/>
  <c r="F82" i="132"/>
  <c r="H82" i="132"/>
  <c r="I82" i="132"/>
  <c r="K82" i="132"/>
  <c r="L82" i="132"/>
  <c r="N82" i="132"/>
  <c r="O82" i="132"/>
  <c r="Q82" i="132"/>
  <c r="R82" i="132"/>
  <c r="T82" i="132"/>
  <c r="U82" i="132"/>
  <c r="A83" i="132"/>
  <c r="B83" i="132"/>
  <c r="C83" i="132"/>
  <c r="E83" i="132"/>
  <c r="F83" i="132"/>
  <c r="H83" i="132"/>
  <c r="I83" i="132"/>
  <c r="K83" i="132"/>
  <c r="L83" i="132"/>
  <c r="N83" i="132"/>
  <c r="O83" i="132"/>
  <c r="Q83" i="132"/>
  <c r="R83" i="132"/>
  <c r="T83" i="132"/>
  <c r="U83" i="132"/>
  <c r="A84" i="132"/>
  <c r="B84" i="132"/>
  <c r="C84" i="132"/>
  <c r="E84" i="132"/>
  <c r="F84" i="132"/>
  <c r="H84" i="132"/>
  <c r="I84" i="132"/>
  <c r="K84" i="132"/>
  <c r="L84" i="132"/>
  <c r="N84" i="132"/>
  <c r="O84" i="132"/>
  <c r="Q84" i="132"/>
  <c r="R84" i="132"/>
  <c r="T84" i="132"/>
  <c r="U84" i="132"/>
  <c r="D85" i="132"/>
  <c r="G85" i="132"/>
  <c r="J85" i="132"/>
  <c r="M85" i="132"/>
  <c r="P85" i="132"/>
  <c r="S85" i="132"/>
  <c r="D86" i="132"/>
  <c r="G86" i="132"/>
  <c r="J86" i="132"/>
  <c r="M86" i="132"/>
  <c r="P86" i="132"/>
  <c r="S86" i="132"/>
  <c r="D92" i="132"/>
  <c r="D138" i="132" s="1"/>
  <c r="E92" i="132"/>
  <c r="E138" i="132" s="1"/>
  <c r="A93" i="132"/>
  <c r="B93" i="132"/>
  <c r="C93" i="132"/>
  <c r="A94" i="132"/>
  <c r="B94" i="132"/>
  <c r="C94" i="132"/>
  <c r="A95" i="132"/>
  <c r="B95" i="132"/>
  <c r="C95" i="132"/>
  <c r="A96" i="132"/>
  <c r="B96" i="132"/>
  <c r="C96" i="132"/>
  <c r="A97" i="132"/>
  <c r="B97" i="132"/>
  <c r="C97" i="132"/>
  <c r="A98" i="132"/>
  <c r="B98" i="132"/>
  <c r="C98" i="132"/>
  <c r="A99" i="132"/>
  <c r="B99" i="132"/>
  <c r="C99" i="132"/>
  <c r="A100" i="132"/>
  <c r="B100" i="132"/>
  <c r="C100" i="132"/>
  <c r="A101" i="132"/>
  <c r="B101" i="132"/>
  <c r="C101" i="132"/>
  <c r="A102" i="132"/>
  <c r="B102" i="132"/>
  <c r="C102" i="132"/>
  <c r="D107" i="132"/>
  <c r="A108" i="132"/>
  <c r="B108" i="132"/>
  <c r="C108" i="132"/>
  <c r="I108" i="132"/>
  <c r="J108" i="132"/>
  <c r="L108" i="132"/>
  <c r="M108" i="132"/>
  <c r="O108" i="132"/>
  <c r="Q108" i="132"/>
  <c r="S108" i="132"/>
  <c r="T108" i="132" s="1"/>
  <c r="A109" i="132"/>
  <c r="B109" i="132"/>
  <c r="C109" i="132"/>
  <c r="I109" i="132"/>
  <c r="J109" i="132"/>
  <c r="L109" i="132"/>
  <c r="M109" i="132"/>
  <c r="O109" i="132"/>
  <c r="Q109" i="132"/>
  <c r="S109" i="132"/>
  <c r="T109" i="132"/>
  <c r="A110" i="132"/>
  <c r="B110" i="132"/>
  <c r="C110" i="132"/>
  <c r="O110" i="132"/>
  <c r="Q110" i="132"/>
  <c r="S110" i="132"/>
  <c r="T110" i="132"/>
  <c r="A111" i="132"/>
  <c r="B111" i="132"/>
  <c r="C111" i="132"/>
  <c r="O111" i="132"/>
  <c r="P111" i="132"/>
  <c r="G110" i="132" s="1"/>
  <c r="Q111" i="132"/>
  <c r="S111" i="132"/>
  <c r="T111" i="132"/>
  <c r="A112" i="132"/>
  <c r="B112" i="132"/>
  <c r="C112" i="132"/>
  <c r="O112" i="132"/>
  <c r="Q112" i="132"/>
  <c r="S112" i="132"/>
  <c r="T112" i="132"/>
  <c r="A113" i="132"/>
  <c r="B113" i="132"/>
  <c r="C113" i="132"/>
  <c r="O113" i="132"/>
  <c r="Q113" i="132"/>
  <c r="S113" i="132"/>
  <c r="T113" i="132"/>
  <c r="A114" i="132"/>
  <c r="B114" i="132"/>
  <c r="C114" i="132"/>
  <c r="I114" i="132"/>
  <c r="J114" i="132"/>
  <c r="L114" i="132"/>
  <c r="M114" i="132"/>
  <c r="O114" i="132"/>
  <c r="Q114" i="132"/>
  <c r="S114" i="132"/>
  <c r="T114" i="132" s="1"/>
  <c r="A115" i="132"/>
  <c r="B115" i="132"/>
  <c r="C115" i="132"/>
  <c r="I115" i="132"/>
  <c r="J115" i="132"/>
  <c r="L115" i="132"/>
  <c r="M115" i="132"/>
  <c r="A116" i="132"/>
  <c r="B116" i="132"/>
  <c r="C116" i="132"/>
  <c r="A117" i="132"/>
  <c r="B117" i="132"/>
  <c r="C117" i="132"/>
  <c r="B124" i="132"/>
  <c r="B128" i="132" s="1"/>
  <c r="C128" i="132" s="1"/>
  <c r="C124" i="132"/>
  <c r="L110" i="132" s="1"/>
  <c r="B127" i="132"/>
  <c r="C127" i="132"/>
  <c r="L113" i="132" s="1"/>
  <c r="B130" i="132"/>
  <c r="C130" i="132"/>
  <c r="A139" i="132"/>
  <c r="B139" i="132"/>
  <c r="C139" i="132"/>
  <c r="A140" i="132"/>
  <c r="B140" i="132"/>
  <c r="C140" i="132"/>
  <c r="A141" i="132"/>
  <c r="B141" i="132"/>
  <c r="C141" i="132"/>
  <c r="A142" i="132"/>
  <c r="B142" i="132"/>
  <c r="C142" i="132"/>
  <c r="A143" i="132"/>
  <c r="B143" i="132"/>
  <c r="C143" i="132"/>
  <c r="A144" i="132"/>
  <c r="B144" i="132"/>
  <c r="C144" i="132"/>
  <c r="A145" i="132"/>
  <c r="B145" i="132"/>
  <c r="C145" i="132"/>
  <c r="A146" i="132"/>
  <c r="B146" i="132"/>
  <c r="C146" i="132"/>
  <c r="A147" i="132"/>
  <c r="B147" i="132"/>
  <c r="C147" i="132"/>
  <c r="A148" i="132"/>
  <c r="B148" i="132"/>
  <c r="C148" i="132"/>
  <c r="C148" i="129"/>
  <c r="B148" i="129"/>
  <c r="A148" i="129"/>
  <c r="C147" i="129"/>
  <c r="B147" i="129"/>
  <c r="A147" i="129"/>
  <c r="C146" i="129"/>
  <c r="B146" i="129"/>
  <c r="A146" i="129"/>
  <c r="C145" i="129"/>
  <c r="B145" i="129"/>
  <c r="A145" i="129"/>
  <c r="C144" i="129"/>
  <c r="B144" i="129"/>
  <c r="A144" i="129"/>
  <c r="C143" i="129"/>
  <c r="B143" i="129"/>
  <c r="A143" i="129"/>
  <c r="C142" i="129"/>
  <c r="B142" i="129"/>
  <c r="A142" i="129"/>
  <c r="C141" i="129"/>
  <c r="B141" i="129"/>
  <c r="A141" i="129"/>
  <c r="C140" i="129"/>
  <c r="B140" i="129"/>
  <c r="A140" i="129"/>
  <c r="C139" i="129"/>
  <c r="B139" i="129"/>
  <c r="A139" i="129"/>
  <c r="B132" i="129"/>
  <c r="C132" i="129" s="1"/>
  <c r="B124" i="129"/>
  <c r="B128" i="129" s="1"/>
  <c r="C128" i="129" s="1"/>
  <c r="C117" i="129"/>
  <c r="B117" i="129"/>
  <c r="A117" i="129"/>
  <c r="C116" i="129"/>
  <c r="B116" i="129"/>
  <c r="A116" i="129"/>
  <c r="L115" i="129"/>
  <c r="M115" i="129" s="1"/>
  <c r="J115" i="129"/>
  <c r="I115" i="129"/>
  <c r="C115" i="129"/>
  <c r="B115" i="129"/>
  <c r="A115" i="129"/>
  <c r="S114" i="129"/>
  <c r="T114" i="129" s="1"/>
  <c r="Q114" i="129"/>
  <c r="O114" i="129"/>
  <c r="L114" i="129"/>
  <c r="M114" i="129" s="1"/>
  <c r="J114" i="129"/>
  <c r="I114" i="129"/>
  <c r="C114" i="129"/>
  <c r="B114" i="129"/>
  <c r="A114" i="129"/>
  <c r="S113" i="129"/>
  <c r="T113" i="129" s="1"/>
  <c r="Q113" i="129"/>
  <c r="O113" i="129"/>
  <c r="C113" i="129"/>
  <c r="B113" i="129"/>
  <c r="A113" i="129"/>
  <c r="S112" i="129"/>
  <c r="T112" i="129" s="1"/>
  <c r="Q112" i="129"/>
  <c r="O112" i="129"/>
  <c r="C112" i="129"/>
  <c r="B112" i="129"/>
  <c r="A112" i="129"/>
  <c r="T111" i="129"/>
  <c r="S111" i="129"/>
  <c r="Q111" i="129"/>
  <c r="P111" i="129"/>
  <c r="G117" i="129" s="1"/>
  <c r="O111" i="129"/>
  <c r="C111" i="129"/>
  <c r="B111" i="129"/>
  <c r="A111" i="129"/>
  <c r="S110" i="129"/>
  <c r="T110" i="129" s="1"/>
  <c r="Q110" i="129"/>
  <c r="O110" i="129"/>
  <c r="C110" i="129"/>
  <c r="B110" i="129"/>
  <c r="A110" i="129"/>
  <c r="T109" i="129"/>
  <c r="S109" i="129"/>
  <c r="Q109" i="129"/>
  <c r="O109" i="129"/>
  <c r="M109" i="129"/>
  <c r="L109" i="129"/>
  <c r="J109" i="129"/>
  <c r="I109" i="129"/>
  <c r="C109" i="129"/>
  <c r="B109" i="129"/>
  <c r="A109" i="129"/>
  <c r="T108" i="129"/>
  <c r="S108" i="129"/>
  <c r="Q108" i="129"/>
  <c r="O108" i="129"/>
  <c r="L108" i="129"/>
  <c r="M108" i="129" s="1"/>
  <c r="J108" i="129"/>
  <c r="I108" i="129"/>
  <c r="C108" i="129"/>
  <c r="B108" i="129"/>
  <c r="A108" i="129"/>
  <c r="D107" i="129"/>
  <c r="C102" i="129"/>
  <c r="B102" i="129"/>
  <c r="A102" i="129"/>
  <c r="C101" i="129"/>
  <c r="B101" i="129"/>
  <c r="A101" i="129"/>
  <c r="C100" i="129"/>
  <c r="B100" i="129"/>
  <c r="A100" i="129"/>
  <c r="C99" i="129"/>
  <c r="B99" i="129"/>
  <c r="A99" i="129"/>
  <c r="C98" i="129"/>
  <c r="B98" i="129"/>
  <c r="A98" i="129"/>
  <c r="C97" i="129"/>
  <c r="B97" i="129"/>
  <c r="A97" i="129"/>
  <c r="C96" i="129"/>
  <c r="B96" i="129"/>
  <c r="A96" i="129"/>
  <c r="C95" i="129"/>
  <c r="B95" i="129"/>
  <c r="A95" i="129"/>
  <c r="C94" i="129"/>
  <c r="B94" i="129"/>
  <c r="A94" i="129"/>
  <c r="C93" i="129"/>
  <c r="B93" i="129"/>
  <c r="A93" i="129"/>
  <c r="D92" i="129"/>
  <c r="D138" i="129" s="1"/>
  <c r="S86" i="129"/>
  <c r="P86" i="129"/>
  <c r="M86" i="129"/>
  <c r="J86" i="129"/>
  <c r="G86" i="129"/>
  <c r="D86" i="129"/>
  <c r="S85" i="129"/>
  <c r="P85" i="129"/>
  <c r="M85" i="129"/>
  <c r="J85" i="129"/>
  <c r="G85" i="129"/>
  <c r="D85" i="129"/>
  <c r="U84" i="129"/>
  <c r="T84" i="129"/>
  <c r="R84" i="129"/>
  <c r="Q84" i="129"/>
  <c r="O84" i="129"/>
  <c r="N84" i="129"/>
  <c r="L84" i="129"/>
  <c r="K84" i="129"/>
  <c r="I84" i="129"/>
  <c r="H84" i="129"/>
  <c r="F84" i="129"/>
  <c r="E84" i="129"/>
  <c r="C84" i="129"/>
  <c r="B84" i="129"/>
  <c r="A84" i="129"/>
  <c r="U83" i="129"/>
  <c r="T83" i="129"/>
  <c r="R83" i="129"/>
  <c r="Q83" i="129"/>
  <c r="O83" i="129"/>
  <c r="N83" i="129"/>
  <c r="L83" i="129"/>
  <c r="K83" i="129"/>
  <c r="I83" i="129"/>
  <c r="H83" i="129"/>
  <c r="F83" i="129"/>
  <c r="E83" i="129"/>
  <c r="C83" i="129"/>
  <c r="B83" i="129"/>
  <c r="A83" i="129"/>
  <c r="U82" i="129"/>
  <c r="T82" i="129"/>
  <c r="R82" i="129"/>
  <c r="Q82" i="129"/>
  <c r="O82" i="129"/>
  <c r="N82" i="129"/>
  <c r="L82" i="129"/>
  <c r="K82" i="129"/>
  <c r="I82" i="129"/>
  <c r="H82" i="129"/>
  <c r="F82" i="129"/>
  <c r="E82" i="129"/>
  <c r="C82" i="129"/>
  <c r="B82" i="129"/>
  <c r="A82" i="129"/>
  <c r="U81" i="129"/>
  <c r="T81" i="129"/>
  <c r="R81" i="129"/>
  <c r="Q81" i="129"/>
  <c r="O81" i="129"/>
  <c r="N81" i="129"/>
  <c r="L81" i="129"/>
  <c r="K81" i="129"/>
  <c r="I81" i="129"/>
  <c r="H81" i="129"/>
  <c r="F81" i="129"/>
  <c r="E81" i="129"/>
  <c r="C81" i="129"/>
  <c r="B81" i="129"/>
  <c r="A81" i="129"/>
  <c r="U80" i="129"/>
  <c r="T80" i="129"/>
  <c r="R80" i="129"/>
  <c r="Q80" i="129"/>
  <c r="O80" i="129"/>
  <c r="N80" i="129"/>
  <c r="L80" i="129"/>
  <c r="K80" i="129"/>
  <c r="I80" i="129"/>
  <c r="H80" i="129"/>
  <c r="F80" i="129"/>
  <c r="E80" i="129"/>
  <c r="C80" i="129"/>
  <c r="B80" i="129"/>
  <c r="A80" i="129"/>
  <c r="U79" i="129"/>
  <c r="T79" i="129"/>
  <c r="R79" i="129"/>
  <c r="Q79" i="129"/>
  <c r="O79" i="129"/>
  <c r="N79" i="129"/>
  <c r="L79" i="129"/>
  <c r="K79" i="129"/>
  <c r="I79" i="129"/>
  <c r="H79" i="129"/>
  <c r="F79" i="129"/>
  <c r="E79" i="129"/>
  <c r="C79" i="129"/>
  <c r="B79" i="129"/>
  <c r="A79" i="129"/>
  <c r="U78" i="129"/>
  <c r="T78" i="129"/>
  <c r="R78" i="129"/>
  <c r="Q78" i="129"/>
  <c r="O78" i="129"/>
  <c r="N78" i="129"/>
  <c r="L78" i="129"/>
  <c r="K78" i="129"/>
  <c r="I78" i="129"/>
  <c r="H78" i="129"/>
  <c r="F78" i="129"/>
  <c r="E78" i="129"/>
  <c r="C78" i="129"/>
  <c r="B78" i="129"/>
  <c r="A78" i="129"/>
  <c r="U77" i="129"/>
  <c r="T77" i="129"/>
  <c r="R77" i="129"/>
  <c r="Q77" i="129"/>
  <c r="O77" i="129"/>
  <c r="N77" i="129"/>
  <c r="L77" i="129"/>
  <c r="K77" i="129"/>
  <c r="I77" i="129"/>
  <c r="H77" i="129"/>
  <c r="F77" i="129"/>
  <c r="E77" i="129"/>
  <c r="C77" i="129"/>
  <c r="B77" i="129"/>
  <c r="A77" i="129"/>
  <c r="U76" i="129"/>
  <c r="T76" i="129"/>
  <c r="R76" i="129"/>
  <c r="Q76" i="129"/>
  <c r="O76" i="129"/>
  <c r="N76" i="129"/>
  <c r="L76" i="129"/>
  <c r="K76" i="129"/>
  <c r="I76" i="129"/>
  <c r="H76" i="129"/>
  <c r="F76" i="129"/>
  <c r="E76" i="129"/>
  <c r="C76" i="129"/>
  <c r="B76" i="129"/>
  <c r="A76" i="129"/>
  <c r="U75" i="129"/>
  <c r="T75" i="129"/>
  <c r="R75" i="129"/>
  <c r="Q75" i="129"/>
  <c r="O75" i="129"/>
  <c r="N75" i="129"/>
  <c r="L75" i="129"/>
  <c r="K75" i="129"/>
  <c r="I75" i="129"/>
  <c r="H75" i="129"/>
  <c r="F75" i="129"/>
  <c r="E75" i="129"/>
  <c r="C75" i="129"/>
  <c r="B75" i="129"/>
  <c r="A75" i="129"/>
  <c r="U74" i="129"/>
  <c r="R74" i="129"/>
  <c r="O74" i="129"/>
  <c r="L74" i="129"/>
  <c r="I74" i="129"/>
  <c r="F74" i="129"/>
  <c r="S69" i="129"/>
  <c r="P69" i="129"/>
  <c r="M69" i="129"/>
  <c r="J69" i="129"/>
  <c r="G69" i="129"/>
  <c r="D69" i="129"/>
  <c r="S68" i="129"/>
  <c r="P68" i="129"/>
  <c r="M68" i="129"/>
  <c r="J68" i="129"/>
  <c r="G68" i="129"/>
  <c r="D68" i="129"/>
  <c r="U67" i="129"/>
  <c r="T67" i="129"/>
  <c r="R67" i="129"/>
  <c r="Q67" i="129"/>
  <c r="O67" i="129"/>
  <c r="N67" i="129"/>
  <c r="L67" i="129"/>
  <c r="K67" i="129"/>
  <c r="I67" i="129"/>
  <c r="H67" i="129"/>
  <c r="F67" i="129"/>
  <c r="E67" i="129"/>
  <c r="C67" i="129"/>
  <c r="B67" i="129"/>
  <c r="U66" i="129"/>
  <c r="T66" i="129"/>
  <c r="R66" i="129"/>
  <c r="Q66" i="129"/>
  <c r="O66" i="129"/>
  <c r="N66" i="129"/>
  <c r="L66" i="129"/>
  <c r="K66" i="129"/>
  <c r="I66" i="129"/>
  <c r="H66" i="129"/>
  <c r="F66" i="129"/>
  <c r="E66" i="129"/>
  <c r="C66" i="129"/>
  <c r="B66" i="129"/>
  <c r="U65" i="129"/>
  <c r="T65" i="129"/>
  <c r="R65" i="129"/>
  <c r="Q65" i="129"/>
  <c r="O65" i="129"/>
  <c r="N65" i="129"/>
  <c r="L65" i="129"/>
  <c r="K65" i="129"/>
  <c r="I65" i="129"/>
  <c r="H65" i="129"/>
  <c r="F65" i="129"/>
  <c r="E65" i="129"/>
  <c r="C65" i="129"/>
  <c r="B65" i="129"/>
  <c r="U64" i="129"/>
  <c r="T64" i="129"/>
  <c r="R64" i="129"/>
  <c r="Q64" i="129"/>
  <c r="O64" i="129"/>
  <c r="N64" i="129"/>
  <c r="L64" i="129"/>
  <c r="K64" i="129"/>
  <c r="I64" i="129"/>
  <c r="H64" i="129"/>
  <c r="F64" i="129"/>
  <c r="E64" i="129"/>
  <c r="C64" i="129"/>
  <c r="B64" i="129"/>
  <c r="U63" i="129"/>
  <c r="T63" i="129"/>
  <c r="R63" i="129"/>
  <c r="Q63" i="129"/>
  <c r="O63" i="129"/>
  <c r="N63" i="129"/>
  <c r="L63" i="129"/>
  <c r="K63" i="129"/>
  <c r="I63" i="129"/>
  <c r="H63" i="129"/>
  <c r="F63" i="129"/>
  <c r="E63" i="129"/>
  <c r="C63" i="129"/>
  <c r="B63" i="129"/>
  <c r="U62" i="129"/>
  <c r="T62" i="129"/>
  <c r="R62" i="129"/>
  <c r="Q62" i="129"/>
  <c r="O62" i="129"/>
  <c r="N62" i="129"/>
  <c r="L62" i="129"/>
  <c r="K62" i="129"/>
  <c r="I62" i="129"/>
  <c r="H62" i="129"/>
  <c r="F62" i="129"/>
  <c r="E62" i="129"/>
  <c r="C62" i="129"/>
  <c r="B62" i="129"/>
  <c r="U61" i="129"/>
  <c r="T61" i="129"/>
  <c r="R61" i="129"/>
  <c r="Q61" i="129"/>
  <c r="O61" i="129"/>
  <c r="N61" i="129"/>
  <c r="L61" i="129"/>
  <c r="K61" i="129"/>
  <c r="I61" i="129"/>
  <c r="H61" i="129"/>
  <c r="F61" i="129"/>
  <c r="E61" i="129"/>
  <c r="C61" i="129"/>
  <c r="B61" i="129"/>
  <c r="U60" i="129"/>
  <c r="T60" i="129"/>
  <c r="R60" i="129"/>
  <c r="Q60" i="129"/>
  <c r="O60" i="129"/>
  <c r="N60" i="129"/>
  <c r="L60" i="129"/>
  <c r="K60" i="129"/>
  <c r="I60" i="129"/>
  <c r="H60" i="129"/>
  <c r="F60" i="129"/>
  <c r="E60" i="129"/>
  <c r="C60" i="129"/>
  <c r="B60" i="129"/>
  <c r="U59" i="129"/>
  <c r="T59" i="129"/>
  <c r="R59" i="129"/>
  <c r="Q59" i="129"/>
  <c r="O59" i="129"/>
  <c r="N59" i="129"/>
  <c r="L59" i="129"/>
  <c r="K59" i="129"/>
  <c r="I59" i="129"/>
  <c r="H59" i="129"/>
  <c r="F59" i="129"/>
  <c r="E59" i="129"/>
  <c r="C59" i="129"/>
  <c r="B59" i="129"/>
  <c r="U58" i="129"/>
  <c r="T58" i="129"/>
  <c r="R58" i="129"/>
  <c r="Q58" i="129"/>
  <c r="O58" i="129"/>
  <c r="N58" i="129"/>
  <c r="L58" i="129"/>
  <c r="K58" i="129"/>
  <c r="I58" i="129"/>
  <c r="H58" i="129"/>
  <c r="F58" i="129"/>
  <c r="E58" i="129"/>
  <c r="C58" i="129"/>
  <c r="B58" i="129"/>
  <c r="U57" i="129"/>
  <c r="R57" i="129"/>
  <c r="O57" i="129"/>
  <c r="L57" i="129"/>
  <c r="I57" i="129"/>
  <c r="F57" i="129"/>
  <c r="S52" i="129"/>
  <c r="P52" i="129"/>
  <c r="M52" i="129"/>
  <c r="J52" i="129"/>
  <c r="G52" i="129"/>
  <c r="D52" i="129"/>
  <c r="S51" i="129"/>
  <c r="P51" i="129"/>
  <c r="M51" i="129"/>
  <c r="J51" i="129"/>
  <c r="G51" i="129"/>
  <c r="D51" i="129"/>
  <c r="U50" i="129"/>
  <c r="T50" i="129"/>
  <c r="R50" i="129"/>
  <c r="Q50" i="129"/>
  <c r="O50" i="129"/>
  <c r="N50" i="129"/>
  <c r="L50" i="129"/>
  <c r="K50" i="129"/>
  <c r="I50" i="129"/>
  <c r="H50" i="129"/>
  <c r="F50" i="129"/>
  <c r="E50" i="129"/>
  <c r="C50" i="129"/>
  <c r="B50" i="129"/>
  <c r="U49" i="129"/>
  <c r="T49" i="129"/>
  <c r="R49" i="129"/>
  <c r="Q49" i="129"/>
  <c r="O49" i="129"/>
  <c r="N49" i="129"/>
  <c r="L49" i="129"/>
  <c r="K49" i="129"/>
  <c r="I49" i="129"/>
  <c r="H49" i="129"/>
  <c r="F49" i="129"/>
  <c r="E49" i="129"/>
  <c r="C49" i="129"/>
  <c r="B49" i="129"/>
  <c r="U48" i="129"/>
  <c r="T48" i="129"/>
  <c r="R48" i="129"/>
  <c r="Q48" i="129"/>
  <c r="O48" i="129"/>
  <c r="N48" i="129"/>
  <c r="L48" i="129"/>
  <c r="K48" i="129"/>
  <c r="I48" i="129"/>
  <c r="H48" i="129"/>
  <c r="F48" i="129"/>
  <c r="E48" i="129"/>
  <c r="C48" i="129"/>
  <c r="B48" i="129"/>
  <c r="U47" i="129"/>
  <c r="T47" i="129"/>
  <c r="R47" i="129"/>
  <c r="Q47" i="129"/>
  <c r="O47" i="129"/>
  <c r="N47" i="129"/>
  <c r="L47" i="129"/>
  <c r="K47" i="129"/>
  <c r="I47" i="129"/>
  <c r="H47" i="129"/>
  <c r="F47" i="129"/>
  <c r="E47" i="129"/>
  <c r="C47" i="129"/>
  <c r="B47" i="129"/>
  <c r="U46" i="129"/>
  <c r="T46" i="129"/>
  <c r="R46" i="129"/>
  <c r="Q46" i="129"/>
  <c r="O46" i="129"/>
  <c r="N46" i="129"/>
  <c r="L46" i="129"/>
  <c r="K46" i="129"/>
  <c r="I46" i="129"/>
  <c r="H46" i="129"/>
  <c r="F46" i="129"/>
  <c r="E46" i="129"/>
  <c r="C46" i="129"/>
  <c r="B46" i="129"/>
  <c r="U45" i="129"/>
  <c r="T45" i="129"/>
  <c r="R45" i="129"/>
  <c r="Q45" i="129"/>
  <c r="O45" i="129"/>
  <c r="N45" i="129"/>
  <c r="L45" i="129"/>
  <c r="K45" i="129"/>
  <c r="I45" i="129"/>
  <c r="H45" i="129"/>
  <c r="F45" i="129"/>
  <c r="E45" i="129"/>
  <c r="C45" i="129"/>
  <c r="B45" i="129"/>
  <c r="U44" i="129"/>
  <c r="T44" i="129"/>
  <c r="R44" i="129"/>
  <c r="Q44" i="129"/>
  <c r="O44" i="129"/>
  <c r="N44" i="129"/>
  <c r="L44" i="129"/>
  <c r="K44" i="129"/>
  <c r="I44" i="129"/>
  <c r="H44" i="129"/>
  <c r="F44" i="129"/>
  <c r="E44" i="129"/>
  <c r="C44" i="129"/>
  <c r="B44" i="129"/>
  <c r="U43" i="129"/>
  <c r="T43" i="129"/>
  <c r="R43" i="129"/>
  <c r="Q43" i="129"/>
  <c r="O43" i="129"/>
  <c r="N43" i="129"/>
  <c r="L43" i="129"/>
  <c r="K43" i="129"/>
  <c r="I43" i="129"/>
  <c r="H43" i="129"/>
  <c r="F43" i="129"/>
  <c r="E43" i="129"/>
  <c r="C43" i="129"/>
  <c r="B43" i="129"/>
  <c r="U42" i="129"/>
  <c r="T42" i="129"/>
  <c r="R42" i="129"/>
  <c r="Q42" i="129"/>
  <c r="O42" i="129"/>
  <c r="N42" i="129"/>
  <c r="L42" i="129"/>
  <c r="K42" i="129"/>
  <c r="I42" i="129"/>
  <c r="H42" i="129"/>
  <c r="F42" i="129"/>
  <c r="E42" i="129"/>
  <c r="C42" i="129"/>
  <c r="B42" i="129"/>
  <c r="U41" i="129"/>
  <c r="T41" i="129"/>
  <c r="R41" i="129"/>
  <c r="Q41" i="129"/>
  <c r="O41" i="129"/>
  <c r="N41" i="129"/>
  <c r="L41" i="129"/>
  <c r="K41" i="129"/>
  <c r="I41" i="129"/>
  <c r="H41" i="129"/>
  <c r="F41" i="129"/>
  <c r="E41" i="129"/>
  <c r="C41" i="129"/>
  <c r="B41" i="129"/>
  <c r="U40" i="129"/>
  <c r="R40" i="129"/>
  <c r="O40" i="129"/>
  <c r="L40" i="129"/>
  <c r="I40" i="129"/>
  <c r="F40" i="129"/>
  <c r="S35" i="129"/>
  <c r="P35" i="129"/>
  <c r="M35" i="129"/>
  <c r="J35" i="129"/>
  <c r="G35" i="129"/>
  <c r="D35" i="129"/>
  <c r="S34" i="129"/>
  <c r="P34" i="129"/>
  <c r="M34" i="129"/>
  <c r="J34" i="129"/>
  <c r="G34" i="129"/>
  <c r="D34" i="129"/>
  <c r="U33" i="129"/>
  <c r="T33" i="129"/>
  <c r="R33" i="129"/>
  <c r="Q33" i="129"/>
  <c r="O33" i="129"/>
  <c r="N33" i="129"/>
  <c r="L33" i="129"/>
  <c r="K33" i="129"/>
  <c r="I33" i="129"/>
  <c r="H33" i="129"/>
  <c r="F33" i="129"/>
  <c r="E33" i="129"/>
  <c r="C33" i="129"/>
  <c r="B33" i="129"/>
  <c r="U32" i="129"/>
  <c r="T32" i="129"/>
  <c r="R32" i="129"/>
  <c r="Q32" i="129"/>
  <c r="O32" i="129"/>
  <c r="N32" i="129"/>
  <c r="L32" i="129"/>
  <c r="K32" i="129"/>
  <c r="I32" i="129"/>
  <c r="H32" i="129"/>
  <c r="F32" i="129"/>
  <c r="E32" i="129"/>
  <c r="C32" i="129"/>
  <c r="B32" i="129"/>
  <c r="U31" i="129"/>
  <c r="T31" i="129"/>
  <c r="R31" i="129"/>
  <c r="Q31" i="129"/>
  <c r="O31" i="129"/>
  <c r="N31" i="129"/>
  <c r="L31" i="129"/>
  <c r="I31" i="129"/>
  <c r="F31" i="129"/>
  <c r="C31" i="129"/>
  <c r="B31" i="129"/>
  <c r="U30" i="129"/>
  <c r="T30" i="129"/>
  <c r="R30" i="129"/>
  <c r="Q30" i="129"/>
  <c r="O30" i="129"/>
  <c r="N30" i="129"/>
  <c r="L30" i="129"/>
  <c r="I30" i="129"/>
  <c r="F30" i="129"/>
  <c r="C30" i="129"/>
  <c r="B30" i="129"/>
  <c r="U29" i="129"/>
  <c r="T29" i="129"/>
  <c r="R29" i="129"/>
  <c r="Q29" i="129"/>
  <c r="O29" i="129"/>
  <c r="N29" i="129"/>
  <c r="L29" i="129"/>
  <c r="I29" i="129"/>
  <c r="F29" i="129"/>
  <c r="C29" i="129"/>
  <c r="B29" i="129"/>
  <c r="U28" i="129"/>
  <c r="T28" i="129"/>
  <c r="R28" i="129"/>
  <c r="Q28" i="129"/>
  <c r="O28" i="129"/>
  <c r="N28" i="129"/>
  <c r="L28" i="129"/>
  <c r="I28" i="129"/>
  <c r="F28" i="129"/>
  <c r="C28" i="129"/>
  <c r="B28" i="129"/>
  <c r="U27" i="129"/>
  <c r="T27" i="129"/>
  <c r="R27" i="129"/>
  <c r="Q27" i="129"/>
  <c r="O27" i="129"/>
  <c r="N27" i="129"/>
  <c r="L27" i="129"/>
  <c r="I27" i="129"/>
  <c r="F27" i="129"/>
  <c r="C27" i="129"/>
  <c r="B27" i="129"/>
  <c r="U26" i="129"/>
  <c r="T26" i="129"/>
  <c r="R26" i="129"/>
  <c r="Q26" i="129"/>
  <c r="O26" i="129"/>
  <c r="N26" i="129"/>
  <c r="L26" i="129"/>
  <c r="I26" i="129"/>
  <c r="F26" i="129"/>
  <c r="C26" i="129"/>
  <c r="B26" i="129"/>
  <c r="U25" i="129"/>
  <c r="T25" i="129"/>
  <c r="R25" i="129"/>
  <c r="Q25" i="129"/>
  <c r="O25" i="129"/>
  <c r="N25" i="129"/>
  <c r="L25" i="129"/>
  <c r="I25" i="129"/>
  <c r="F25" i="129"/>
  <c r="C25" i="129"/>
  <c r="B25" i="129"/>
  <c r="U24" i="129"/>
  <c r="T24" i="129"/>
  <c r="R24" i="129"/>
  <c r="Q24" i="129"/>
  <c r="O24" i="129"/>
  <c r="N24" i="129"/>
  <c r="L24" i="129"/>
  <c r="I24" i="129"/>
  <c r="F24" i="129"/>
  <c r="C24" i="129"/>
  <c r="B24" i="129"/>
  <c r="U23" i="129"/>
  <c r="R23" i="129"/>
  <c r="O23" i="129"/>
  <c r="L23" i="129"/>
  <c r="I23" i="129"/>
  <c r="F23" i="129"/>
  <c r="S19" i="129"/>
  <c r="P19" i="129"/>
  <c r="R16" i="129" s="1"/>
  <c r="M19" i="129"/>
  <c r="O16" i="129" s="1"/>
  <c r="J19" i="129"/>
  <c r="L11" i="129" s="1"/>
  <c r="G19" i="129"/>
  <c r="I16" i="129" s="1"/>
  <c r="D19" i="129"/>
  <c r="F14" i="129" s="1"/>
  <c r="S18" i="129"/>
  <c r="U14" i="129" s="1"/>
  <c r="P18" i="129"/>
  <c r="M18" i="129"/>
  <c r="O11" i="129" s="1"/>
  <c r="J18" i="129"/>
  <c r="G18" i="129"/>
  <c r="D18" i="129"/>
  <c r="U17" i="129"/>
  <c r="T17" i="129"/>
  <c r="R17" i="129"/>
  <c r="Q17" i="129"/>
  <c r="O17" i="129"/>
  <c r="N17" i="129"/>
  <c r="L17" i="129"/>
  <c r="K17" i="129"/>
  <c r="I17" i="129"/>
  <c r="H17" i="129"/>
  <c r="F17" i="129"/>
  <c r="E17" i="129"/>
  <c r="D117" i="129" s="1"/>
  <c r="E117" i="129" s="1"/>
  <c r="T16" i="129"/>
  <c r="Q16" i="129"/>
  <c r="N16" i="129"/>
  <c r="L16" i="129"/>
  <c r="K16" i="129"/>
  <c r="H16" i="129"/>
  <c r="F16" i="129"/>
  <c r="E16" i="129"/>
  <c r="T15" i="129"/>
  <c r="Q15" i="129"/>
  <c r="N15" i="129"/>
  <c r="K15" i="129"/>
  <c r="H15" i="129"/>
  <c r="E15" i="129"/>
  <c r="T14" i="129"/>
  <c r="Q14" i="129"/>
  <c r="N14" i="129"/>
  <c r="K14" i="129"/>
  <c r="H14" i="129"/>
  <c r="E14" i="129"/>
  <c r="T13" i="129"/>
  <c r="R13" i="129"/>
  <c r="Q13" i="129"/>
  <c r="N13" i="129"/>
  <c r="K13" i="129"/>
  <c r="H13" i="129"/>
  <c r="E13" i="129"/>
  <c r="T12" i="129"/>
  <c r="Q12" i="129"/>
  <c r="N12" i="129"/>
  <c r="K12" i="129"/>
  <c r="H12" i="129"/>
  <c r="E12" i="129"/>
  <c r="T11" i="129"/>
  <c r="R11" i="129"/>
  <c r="Q11" i="129"/>
  <c r="N11" i="129"/>
  <c r="K11" i="129"/>
  <c r="H11" i="129"/>
  <c r="E11" i="129"/>
  <c r="T10" i="129"/>
  <c r="R10" i="129"/>
  <c r="Q10" i="129"/>
  <c r="N10" i="129"/>
  <c r="K10" i="129"/>
  <c r="H10" i="129"/>
  <c r="E10" i="129"/>
  <c r="T9" i="129"/>
  <c r="R9" i="129"/>
  <c r="Q9" i="129"/>
  <c r="N9" i="129"/>
  <c r="K9" i="129"/>
  <c r="H9" i="129"/>
  <c r="E9" i="129"/>
  <c r="T8" i="129"/>
  <c r="R8" i="129"/>
  <c r="Q8" i="129"/>
  <c r="N8" i="129"/>
  <c r="K8" i="129"/>
  <c r="H8" i="129"/>
  <c r="E8" i="129"/>
  <c r="U7" i="129"/>
  <c r="R7" i="129"/>
  <c r="O7" i="129"/>
  <c r="L7" i="129"/>
  <c r="L15" i="129" s="1"/>
  <c r="I7" i="129"/>
  <c r="F7" i="129"/>
  <c r="E107" i="129" s="1"/>
  <c r="R112" i="132" l="1"/>
  <c r="U9" i="132"/>
  <c r="E101" i="132"/>
  <c r="E147" i="132" s="1"/>
  <c r="R11" i="132"/>
  <c r="R13" i="132"/>
  <c r="R15" i="132"/>
  <c r="R8" i="132"/>
  <c r="R14" i="132"/>
  <c r="O10" i="132"/>
  <c r="K108" i="132"/>
  <c r="D110" i="132"/>
  <c r="G117" i="132"/>
  <c r="R114" i="132"/>
  <c r="R108" i="132"/>
  <c r="O8" i="132"/>
  <c r="G114" i="132"/>
  <c r="K109" i="132"/>
  <c r="D95" i="132"/>
  <c r="D141" i="132" s="1"/>
  <c r="D94" i="132"/>
  <c r="F94" i="132" s="1"/>
  <c r="F140" i="132" s="1"/>
  <c r="D109" i="132"/>
  <c r="D113" i="132"/>
  <c r="D111" i="132"/>
  <c r="L8" i="132"/>
  <c r="G111" i="132"/>
  <c r="D100" i="132"/>
  <c r="D146" i="132" s="1"/>
  <c r="D99" i="132"/>
  <c r="D145" i="132" s="1"/>
  <c r="D98" i="132"/>
  <c r="K115" i="132"/>
  <c r="R113" i="132"/>
  <c r="G108" i="132"/>
  <c r="D97" i="132"/>
  <c r="F97" i="132" s="1"/>
  <c r="F143" i="132" s="1"/>
  <c r="D114" i="132"/>
  <c r="D112" i="132"/>
  <c r="I8" i="132"/>
  <c r="D96" i="132"/>
  <c r="G116" i="132"/>
  <c r="G115" i="132"/>
  <c r="E116" i="132"/>
  <c r="K114" i="132"/>
  <c r="T115" i="132"/>
  <c r="G113" i="132"/>
  <c r="G109" i="132"/>
  <c r="D93" i="132"/>
  <c r="D139" i="132" s="1"/>
  <c r="G112" i="132"/>
  <c r="R111" i="132"/>
  <c r="R110" i="132"/>
  <c r="R109" i="132"/>
  <c r="U11" i="135"/>
  <c r="O15" i="135"/>
  <c r="D116" i="135"/>
  <c r="D101" i="135"/>
  <c r="F14" i="135"/>
  <c r="R108" i="135"/>
  <c r="R111" i="135"/>
  <c r="F15" i="135"/>
  <c r="F16" i="135"/>
  <c r="E101" i="135" s="1"/>
  <c r="E147" i="135" s="1"/>
  <c r="D115" i="135"/>
  <c r="D101" i="136"/>
  <c r="R16" i="136"/>
  <c r="L11" i="136"/>
  <c r="L8" i="136"/>
  <c r="D116" i="136"/>
  <c r="F16" i="136"/>
  <c r="U16" i="129"/>
  <c r="R12" i="129"/>
  <c r="R113" i="129"/>
  <c r="R15" i="129"/>
  <c r="R14" i="129"/>
  <c r="O15" i="129"/>
  <c r="G108" i="129"/>
  <c r="D116" i="129"/>
  <c r="I11" i="129"/>
  <c r="K115" i="129"/>
  <c r="U15" i="133"/>
  <c r="R13" i="133"/>
  <c r="R16" i="133"/>
  <c r="L8" i="133"/>
  <c r="D116" i="133"/>
  <c r="E116" i="133"/>
  <c r="K115" i="133"/>
  <c r="D101" i="133"/>
  <c r="D147" i="133" s="1"/>
  <c r="F9" i="133"/>
  <c r="U15" i="137"/>
  <c r="F14" i="137"/>
  <c r="R110" i="137"/>
  <c r="G116" i="137"/>
  <c r="K108" i="137"/>
  <c r="E101" i="137"/>
  <c r="E147" i="137" s="1"/>
  <c r="G117" i="137"/>
  <c r="G112" i="138"/>
  <c r="G113" i="138"/>
  <c r="K115" i="138"/>
  <c r="R9" i="138"/>
  <c r="R15" i="138"/>
  <c r="R14" i="138"/>
  <c r="D99" i="138"/>
  <c r="D145" i="138" s="1"/>
  <c r="K109" i="138"/>
  <c r="F14" i="138"/>
  <c r="F9" i="138"/>
  <c r="U14" i="134"/>
  <c r="R13" i="134"/>
  <c r="L11" i="134"/>
  <c r="F11" i="134"/>
  <c r="U11" i="136"/>
  <c r="R9" i="136"/>
  <c r="R15" i="136"/>
  <c r="D112" i="136"/>
  <c r="K115" i="136"/>
  <c r="R113" i="136"/>
  <c r="D108" i="136"/>
  <c r="F14" i="136"/>
  <c r="U8" i="129"/>
  <c r="U9" i="129"/>
  <c r="U10" i="129"/>
  <c r="U11" i="129"/>
  <c r="U13" i="129"/>
  <c r="U15" i="129"/>
  <c r="U12" i="129"/>
  <c r="R109" i="129"/>
  <c r="D114" i="129"/>
  <c r="O9" i="129"/>
  <c r="O13" i="129"/>
  <c r="O14" i="129"/>
  <c r="D112" i="129"/>
  <c r="D98" i="129"/>
  <c r="D144" i="129" s="1"/>
  <c r="D113" i="129"/>
  <c r="K108" i="129"/>
  <c r="E101" i="129"/>
  <c r="E147" i="129" s="1"/>
  <c r="D110" i="129"/>
  <c r="D99" i="129"/>
  <c r="F99" i="129" s="1"/>
  <c r="F145" i="129" s="1"/>
  <c r="D115" i="129"/>
  <c r="R112" i="129"/>
  <c r="R111" i="129"/>
  <c r="R110" i="129"/>
  <c r="D108" i="129"/>
  <c r="D94" i="129"/>
  <c r="D140" i="129" s="1"/>
  <c r="D95" i="129"/>
  <c r="F95" i="129" s="1"/>
  <c r="F141" i="129" s="1"/>
  <c r="D111" i="129"/>
  <c r="G111" i="129"/>
  <c r="G113" i="129"/>
  <c r="G114" i="129"/>
  <c r="G110" i="129"/>
  <c r="G112" i="129"/>
  <c r="K114" i="129"/>
  <c r="G115" i="129"/>
  <c r="G116" i="129"/>
  <c r="D109" i="129"/>
  <c r="G109" i="129"/>
  <c r="R114" i="129"/>
  <c r="R108" i="129"/>
  <c r="K109" i="129"/>
  <c r="U9" i="138"/>
  <c r="U14" i="138"/>
  <c r="D109" i="138"/>
  <c r="O15" i="138"/>
  <c r="D112" i="138"/>
  <c r="K114" i="138"/>
  <c r="G116" i="138"/>
  <c r="R109" i="138"/>
  <c r="R114" i="138"/>
  <c r="L11" i="138"/>
  <c r="D114" i="138"/>
  <c r="D115" i="138"/>
  <c r="E101" i="138"/>
  <c r="E147" i="138" s="1"/>
  <c r="G108" i="138"/>
  <c r="R111" i="138"/>
  <c r="R113" i="138"/>
  <c r="G117" i="138"/>
  <c r="K108" i="138"/>
  <c r="D111" i="138"/>
  <c r="F11" i="138"/>
  <c r="D98" i="138"/>
  <c r="D144" i="138" s="1"/>
  <c r="D96" i="138"/>
  <c r="D142" i="138" s="1"/>
  <c r="D97" i="138"/>
  <c r="D143" i="138" s="1"/>
  <c r="D110" i="138"/>
  <c r="R108" i="138"/>
  <c r="G111" i="138"/>
  <c r="G114" i="138"/>
  <c r="D108" i="138"/>
  <c r="F15" i="138"/>
  <c r="R110" i="138"/>
  <c r="R112" i="138"/>
  <c r="T115" i="138"/>
  <c r="F99" i="138"/>
  <c r="F145" i="138" s="1"/>
  <c r="D147" i="138"/>
  <c r="F101" i="138"/>
  <c r="F147" i="138" s="1"/>
  <c r="D148" i="138"/>
  <c r="F102" i="138"/>
  <c r="F148" i="138" s="1"/>
  <c r="E102" i="138"/>
  <c r="E148" i="138" s="1"/>
  <c r="E99" i="138"/>
  <c r="E145" i="138" s="1"/>
  <c r="I8" i="138"/>
  <c r="U8" i="138"/>
  <c r="O9" i="138"/>
  <c r="I10" i="138"/>
  <c r="U10" i="138"/>
  <c r="O11" i="138"/>
  <c r="I12" i="138"/>
  <c r="U12" i="138"/>
  <c r="O13" i="138"/>
  <c r="I14" i="138"/>
  <c r="E114" i="138" s="1"/>
  <c r="D113" i="138"/>
  <c r="E116" i="138"/>
  <c r="B126" i="138"/>
  <c r="C126" i="138" s="1"/>
  <c r="L112" i="138" s="1"/>
  <c r="B129" i="138"/>
  <c r="C129" i="138" s="1"/>
  <c r="D93" i="138"/>
  <c r="D94" i="138"/>
  <c r="D95" i="138"/>
  <c r="D100" i="138"/>
  <c r="I11" i="138"/>
  <c r="O12" i="138"/>
  <c r="U13" i="138"/>
  <c r="U15" i="138"/>
  <c r="G115" i="138"/>
  <c r="I9" i="138"/>
  <c r="E94" i="138" s="1"/>
  <c r="E140" i="138" s="1"/>
  <c r="O10" i="138"/>
  <c r="U11" i="138"/>
  <c r="I15" i="138"/>
  <c r="E92" i="138"/>
  <c r="E138" i="138" s="1"/>
  <c r="F8" i="138"/>
  <c r="R8" i="138"/>
  <c r="L9" i="138"/>
  <c r="F10" i="138"/>
  <c r="R10" i="138"/>
  <c r="F12" i="138"/>
  <c r="R12" i="138"/>
  <c r="L13" i="138"/>
  <c r="B125" i="138"/>
  <c r="C125" i="138" s="1"/>
  <c r="L111" i="138" s="1"/>
  <c r="B131" i="138"/>
  <c r="C131" i="138" s="1"/>
  <c r="O8" i="138"/>
  <c r="U14" i="137"/>
  <c r="D97" i="137"/>
  <c r="D143" i="137" s="1"/>
  <c r="D114" i="137"/>
  <c r="R8" i="137"/>
  <c r="D99" i="137"/>
  <c r="D145" i="137" s="1"/>
  <c r="R114" i="137"/>
  <c r="O15" i="137"/>
  <c r="K114" i="137"/>
  <c r="K115" i="137"/>
  <c r="D115" i="137"/>
  <c r="R112" i="137"/>
  <c r="L11" i="137"/>
  <c r="D112" i="137"/>
  <c r="D98" i="137"/>
  <c r="F98" i="137" s="1"/>
  <c r="F144" i="137" s="1"/>
  <c r="R111" i="137"/>
  <c r="G114" i="137"/>
  <c r="D111" i="137"/>
  <c r="G110" i="137"/>
  <c r="G111" i="137"/>
  <c r="G112" i="137"/>
  <c r="G113" i="137"/>
  <c r="D108" i="137"/>
  <c r="F15" i="137"/>
  <c r="F13" i="137"/>
  <c r="D96" i="137"/>
  <c r="F96" i="137" s="1"/>
  <c r="F142" i="137" s="1"/>
  <c r="K109" i="137"/>
  <c r="D109" i="137"/>
  <c r="R108" i="137"/>
  <c r="D110" i="137"/>
  <c r="R109" i="137"/>
  <c r="R113" i="137"/>
  <c r="T115" i="137"/>
  <c r="D147" i="137"/>
  <c r="F101" i="137"/>
  <c r="F147" i="137" s="1"/>
  <c r="D148" i="137"/>
  <c r="F102" i="137"/>
  <c r="F148" i="137" s="1"/>
  <c r="E102" i="137"/>
  <c r="E148" i="137" s="1"/>
  <c r="I8" i="137"/>
  <c r="U8" i="137"/>
  <c r="O9" i="137"/>
  <c r="I10" i="137"/>
  <c r="U10" i="137"/>
  <c r="O11" i="137"/>
  <c r="I12" i="137"/>
  <c r="U12" i="137"/>
  <c r="O13" i="137"/>
  <c r="I14" i="137"/>
  <c r="D113" i="137"/>
  <c r="E116" i="137"/>
  <c r="B126" i="137"/>
  <c r="C126" i="137" s="1"/>
  <c r="L112" i="137" s="1"/>
  <c r="B129" i="137"/>
  <c r="C129" i="137" s="1"/>
  <c r="R9" i="137"/>
  <c r="R11" i="137"/>
  <c r="R13" i="137"/>
  <c r="R15" i="137"/>
  <c r="D93" i="137"/>
  <c r="D94" i="137"/>
  <c r="D95" i="137"/>
  <c r="D100" i="137"/>
  <c r="I11" i="137"/>
  <c r="O12" i="137"/>
  <c r="O14" i="137"/>
  <c r="G108" i="137"/>
  <c r="G115" i="137"/>
  <c r="I9" i="137"/>
  <c r="U9" i="137"/>
  <c r="U11" i="137"/>
  <c r="I15" i="137"/>
  <c r="E115" i="137" s="1"/>
  <c r="F8" i="137"/>
  <c r="F10" i="137"/>
  <c r="R10" i="137"/>
  <c r="F12" i="137"/>
  <c r="R12" i="137"/>
  <c r="B125" i="137"/>
  <c r="C125" i="137" s="1"/>
  <c r="L111" i="137" s="1"/>
  <c r="B131" i="137"/>
  <c r="C131" i="137" s="1"/>
  <c r="O8" i="137"/>
  <c r="I13" i="137"/>
  <c r="U13" i="137"/>
  <c r="U14" i="136"/>
  <c r="R14" i="136"/>
  <c r="K109" i="136"/>
  <c r="R13" i="136"/>
  <c r="O15" i="136"/>
  <c r="R108" i="136"/>
  <c r="D97" i="136"/>
  <c r="D143" i="136" s="1"/>
  <c r="D115" i="136"/>
  <c r="D111" i="136"/>
  <c r="R114" i="136"/>
  <c r="K108" i="136"/>
  <c r="I15" i="136"/>
  <c r="D114" i="136"/>
  <c r="G109" i="136"/>
  <c r="D110" i="136"/>
  <c r="G114" i="136"/>
  <c r="G111" i="136"/>
  <c r="G112" i="136"/>
  <c r="G113" i="136"/>
  <c r="K114" i="136"/>
  <c r="F15" i="136"/>
  <c r="G108" i="136"/>
  <c r="G110" i="136"/>
  <c r="R112" i="136"/>
  <c r="G116" i="136"/>
  <c r="F11" i="136"/>
  <c r="D98" i="136"/>
  <c r="F98" i="136" s="1"/>
  <c r="F144" i="136" s="1"/>
  <c r="E101" i="136"/>
  <c r="E147" i="136" s="1"/>
  <c r="R109" i="136"/>
  <c r="R110" i="136"/>
  <c r="R111" i="136"/>
  <c r="F9" i="136"/>
  <c r="D96" i="136"/>
  <c r="F96" i="136" s="1"/>
  <c r="F142" i="136" s="1"/>
  <c r="D109" i="136"/>
  <c r="D99" i="136"/>
  <c r="F99" i="136" s="1"/>
  <c r="F145" i="136" s="1"/>
  <c r="G117" i="136"/>
  <c r="D147" i="136"/>
  <c r="F101" i="136"/>
  <c r="F147" i="136" s="1"/>
  <c r="D148" i="136"/>
  <c r="F102" i="136"/>
  <c r="F148" i="136" s="1"/>
  <c r="E102" i="136"/>
  <c r="E148" i="136" s="1"/>
  <c r="T115" i="136"/>
  <c r="I8" i="136"/>
  <c r="U8" i="136"/>
  <c r="O9" i="136"/>
  <c r="I10" i="136"/>
  <c r="U10" i="136"/>
  <c r="O11" i="136"/>
  <c r="I12" i="136"/>
  <c r="U12" i="136"/>
  <c r="O13" i="136"/>
  <c r="I14" i="136"/>
  <c r="D113" i="136"/>
  <c r="E116" i="136"/>
  <c r="B126" i="136"/>
  <c r="C126" i="136" s="1"/>
  <c r="L112" i="136" s="1"/>
  <c r="B129" i="136"/>
  <c r="C129" i="136" s="1"/>
  <c r="D93" i="136"/>
  <c r="D94" i="136"/>
  <c r="D95" i="136"/>
  <c r="D100" i="136"/>
  <c r="I9" i="136"/>
  <c r="E92" i="136"/>
  <c r="E138" i="136" s="1"/>
  <c r="C124" i="136"/>
  <c r="L110" i="136" s="1"/>
  <c r="B127" i="136"/>
  <c r="C127" i="136" s="1"/>
  <c r="L113" i="136" s="1"/>
  <c r="B130" i="136"/>
  <c r="C130" i="136" s="1"/>
  <c r="I11" i="136"/>
  <c r="O12" i="136"/>
  <c r="O14" i="136"/>
  <c r="O10" i="136"/>
  <c r="I13" i="136"/>
  <c r="U13" i="136"/>
  <c r="U15" i="136"/>
  <c r="F8" i="136"/>
  <c r="R8" i="136"/>
  <c r="L9" i="136"/>
  <c r="F10" i="136"/>
  <c r="R10" i="136"/>
  <c r="F12" i="136"/>
  <c r="R12" i="136"/>
  <c r="L13" i="136"/>
  <c r="B125" i="136"/>
  <c r="C125" i="136" s="1"/>
  <c r="L111" i="136" s="1"/>
  <c r="B131" i="136"/>
  <c r="C131" i="136" s="1"/>
  <c r="U9" i="136"/>
  <c r="U14" i="135"/>
  <c r="D97" i="135"/>
  <c r="D143" i="135" s="1"/>
  <c r="R13" i="135"/>
  <c r="R11" i="135"/>
  <c r="R9" i="135"/>
  <c r="D112" i="135"/>
  <c r="D111" i="135"/>
  <c r="D114" i="135"/>
  <c r="D108" i="135"/>
  <c r="D110" i="135"/>
  <c r="F11" i="135"/>
  <c r="D98" i="135"/>
  <c r="D144" i="135" s="1"/>
  <c r="F9" i="135"/>
  <c r="D96" i="135"/>
  <c r="F96" i="135" s="1"/>
  <c r="F142" i="135" s="1"/>
  <c r="F13" i="135"/>
  <c r="D109" i="135"/>
  <c r="D99" i="135"/>
  <c r="F99" i="135" s="1"/>
  <c r="F145" i="135" s="1"/>
  <c r="R109" i="135"/>
  <c r="K108" i="135"/>
  <c r="O8" i="135"/>
  <c r="L11" i="135"/>
  <c r="K115" i="135"/>
  <c r="R110" i="135"/>
  <c r="R113" i="135"/>
  <c r="R114" i="135"/>
  <c r="G116" i="135"/>
  <c r="G117" i="135"/>
  <c r="K109" i="135"/>
  <c r="G114" i="135"/>
  <c r="G110" i="135"/>
  <c r="G111" i="135"/>
  <c r="G112" i="135"/>
  <c r="G113" i="135"/>
  <c r="K114" i="135"/>
  <c r="G108" i="135"/>
  <c r="R112" i="135"/>
  <c r="T115" i="135"/>
  <c r="D147" i="135"/>
  <c r="F101" i="135"/>
  <c r="F147" i="135" s="1"/>
  <c r="D148" i="135"/>
  <c r="F102" i="135"/>
  <c r="F148" i="135" s="1"/>
  <c r="E102" i="135"/>
  <c r="E148" i="135" s="1"/>
  <c r="I8" i="135"/>
  <c r="U8" i="135"/>
  <c r="O9" i="135"/>
  <c r="I10" i="135"/>
  <c r="U10" i="135"/>
  <c r="O11" i="135"/>
  <c r="I12" i="135"/>
  <c r="U12" i="135"/>
  <c r="O13" i="135"/>
  <c r="I14" i="135"/>
  <c r="D113" i="135"/>
  <c r="B126" i="135"/>
  <c r="C126" i="135" s="1"/>
  <c r="L112" i="135" s="1"/>
  <c r="B129" i="135"/>
  <c r="C129" i="135" s="1"/>
  <c r="D93" i="135"/>
  <c r="D94" i="135"/>
  <c r="D95" i="135"/>
  <c r="D100" i="135"/>
  <c r="I11" i="135"/>
  <c r="O12" i="135"/>
  <c r="O14" i="135"/>
  <c r="G115" i="135"/>
  <c r="I9" i="135"/>
  <c r="O10" i="135"/>
  <c r="I13" i="135"/>
  <c r="U13" i="135"/>
  <c r="U15" i="135"/>
  <c r="F8" i="135"/>
  <c r="R8" i="135"/>
  <c r="L9" i="135"/>
  <c r="F10" i="135"/>
  <c r="R10" i="135"/>
  <c r="F12" i="135"/>
  <c r="R12" i="135"/>
  <c r="L13" i="135"/>
  <c r="B125" i="135"/>
  <c r="C125" i="135" s="1"/>
  <c r="L111" i="135" s="1"/>
  <c r="B131" i="135"/>
  <c r="C131" i="135" s="1"/>
  <c r="U9" i="135"/>
  <c r="I15" i="135"/>
  <c r="U15" i="134"/>
  <c r="R113" i="134"/>
  <c r="D114" i="134"/>
  <c r="D111" i="134"/>
  <c r="G117" i="134"/>
  <c r="O15" i="134"/>
  <c r="G108" i="134"/>
  <c r="O14" i="134"/>
  <c r="R110" i="134"/>
  <c r="L8" i="134"/>
  <c r="D108" i="134"/>
  <c r="D112" i="134"/>
  <c r="K115" i="134"/>
  <c r="I13" i="134"/>
  <c r="K108" i="134"/>
  <c r="R114" i="134"/>
  <c r="K109" i="134"/>
  <c r="G114" i="134"/>
  <c r="R108" i="134"/>
  <c r="G111" i="134"/>
  <c r="G113" i="134"/>
  <c r="K114" i="134"/>
  <c r="G110" i="134"/>
  <c r="G112" i="134"/>
  <c r="R112" i="134"/>
  <c r="F13" i="134"/>
  <c r="D115" i="134"/>
  <c r="F9" i="134"/>
  <c r="D109" i="134"/>
  <c r="D99" i="134"/>
  <c r="D145" i="134" s="1"/>
  <c r="E101" i="134"/>
  <c r="E147" i="134" s="1"/>
  <c r="R111" i="134"/>
  <c r="D98" i="134"/>
  <c r="D144" i="134" s="1"/>
  <c r="E116" i="134"/>
  <c r="D96" i="134"/>
  <c r="F96" i="134" s="1"/>
  <c r="F142" i="134" s="1"/>
  <c r="D97" i="134"/>
  <c r="F97" i="134" s="1"/>
  <c r="F143" i="134" s="1"/>
  <c r="F14" i="134"/>
  <c r="G109" i="134"/>
  <c r="F15" i="134"/>
  <c r="R109" i="134"/>
  <c r="G116" i="134"/>
  <c r="D110" i="134"/>
  <c r="D147" i="134"/>
  <c r="F101" i="134"/>
  <c r="F147" i="134" s="1"/>
  <c r="F102" i="134"/>
  <c r="F148" i="134" s="1"/>
  <c r="E102" i="134"/>
  <c r="E148" i="134" s="1"/>
  <c r="D148" i="134"/>
  <c r="T115" i="134"/>
  <c r="I8" i="134"/>
  <c r="U8" i="134"/>
  <c r="O9" i="134"/>
  <c r="I10" i="134"/>
  <c r="U10" i="134"/>
  <c r="O11" i="134"/>
  <c r="I12" i="134"/>
  <c r="U12" i="134"/>
  <c r="O13" i="134"/>
  <c r="I14" i="134"/>
  <c r="D113" i="134"/>
  <c r="B132" i="134"/>
  <c r="C132" i="134" s="1"/>
  <c r="B126" i="134"/>
  <c r="C126" i="134" s="1"/>
  <c r="L112" i="134" s="1"/>
  <c r="B129" i="134"/>
  <c r="C129" i="134" s="1"/>
  <c r="D93" i="134"/>
  <c r="D94" i="134"/>
  <c r="D95" i="134"/>
  <c r="D100" i="134"/>
  <c r="U13" i="134"/>
  <c r="C124" i="134"/>
  <c r="L110" i="134" s="1"/>
  <c r="O8" i="134"/>
  <c r="I11" i="134"/>
  <c r="I15" i="134"/>
  <c r="B130" i="134"/>
  <c r="C130" i="134" s="1"/>
  <c r="I9" i="134"/>
  <c r="O10" i="134"/>
  <c r="U11" i="134"/>
  <c r="O12" i="134"/>
  <c r="E92" i="134"/>
  <c r="E138" i="134" s="1"/>
  <c r="F8" i="134"/>
  <c r="R8" i="134"/>
  <c r="L9" i="134"/>
  <c r="F10" i="134"/>
  <c r="R10" i="134"/>
  <c r="F12" i="134"/>
  <c r="R12" i="134"/>
  <c r="L13" i="134"/>
  <c r="B125" i="134"/>
  <c r="C125" i="134" s="1"/>
  <c r="L111" i="134" s="1"/>
  <c r="B131" i="134"/>
  <c r="C131" i="134" s="1"/>
  <c r="U9" i="134"/>
  <c r="B127" i="134"/>
  <c r="C127" i="134" s="1"/>
  <c r="L113" i="134" s="1"/>
  <c r="D113" i="133"/>
  <c r="D114" i="133"/>
  <c r="R15" i="133"/>
  <c r="R112" i="133"/>
  <c r="D100" i="133"/>
  <c r="F100" i="133" s="1"/>
  <c r="F146" i="133" s="1"/>
  <c r="R9" i="133"/>
  <c r="R8" i="133"/>
  <c r="D110" i="133"/>
  <c r="R108" i="133"/>
  <c r="D112" i="133"/>
  <c r="D111" i="133"/>
  <c r="O12" i="133"/>
  <c r="L11" i="133"/>
  <c r="G112" i="133"/>
  <c r="G113" i="133"/>
  <c r="L10" i="133"/>
  <c r="K108" i="133"/>
  <c r="D109" i="133"/>
  <c r="D93" i="133"/>
  <c r="D139" i="133" s="1"/>
  <c r="D95" i="133"/>
  <c r="D141" i="133" s="1"/>
  <c r="K114" i="133"/>
  <c r="I15" i="133"/>
  <c r="K109" i="133"/>
  <c r="R111" i="133"/>
  <c r="D115" i="133"/>
  <c r="R110" i="133"/>
  <c r="R109" i="133"/>
  <c r="R113" i="133"/>
  <c r="T115" i="133"/>
  <c r="G116" i="133"/>
  <c r="F11" i="133"/>
  <c r="D98" i="133"/>
  <c r="D144" i="133" s="1"/>
  <c r="D96" i="133"/>
  <c r="F96" i="133" s="1"/>
  <c r="F142" i="133" s="1"/>
  <c r="R114" i="133"/>
  <c r="E101" i="133"/>
  <c r="E147" i="133" s="1"/>
  <c r="D97" i="133"/>
  <c r="D143" i="133" s="1"/>
  <c r="D99" i="133"/>
  <c r="F99" i="133" s="1"/>
  <c r="F145" i="133" s="1"/>
  <c r="D94" i="133"/>
  <c r="D140" i="133" s="1"/>
  <c r="F14" i="133"/>
  <c r="G108" i="133"/>
  <c r="G110" i="133"/>
  <c r="G111" i="133"/>
  <c r="G114" i="133"/>
  <c r="G117" i="133"/>
  <c r="F101" i="133"/>
  <c r="F147" i="133" s="1"/>
  <c r="O8" i="133"/>
  <c r="U9" i="133"/>
  <c r="I11" i="133"/>
  <c r="U13" i="133"/>
  <c r="F102" i="133"/>
  <c r="F148" i="133" s="1"/>
  <c r="I8" i="133"/>
  <c r="U8" i="133"/>
  <c r="O9" i="133"/>
  <c r="I10" i="133"/>
  <c r="U10" i="133"/>
  <c r="O11" i="133"/>
  <c r="I12" i="133"/>
  <c r="U12" i="133"/>
  <c r="O13" i="133"/>
  <c r="I14" i="133"/>
  <c r="U14" i="133"/>
  <c r="O15" i="133"/>
  <c r="E115" i="133" s="1"/>
  <c r="B132" i="133"/>
  <c r="C132" i="133" s="1"/>
  <c r="B126" i="133"/>
  <c r="C126" i="133" s="1"/>
  <c r="L112" i="133" s="1"/>
  <c r="B129" i="133"/>
  <c r="C129" i="133" s="1"/>
  <c r="E102" i="133"/>
  <c r="E148" i="133" s="1"/>
  <c r="E92" i="133"/>
  <c r="E138" i="133" s="1"/>
  <c r="C124" i="133"/>
  <c r="L110" i="133" s="1"/>
  <c r="B127" i="133"/>
  <c r="C127" i="133" s="1"/>
  <c r="L113" i="133" s="1"/>
  <c r="B130" i="133"/>
  <c r="C130" i="133" s="1"/>
  <c r="D108" i="133"/>
  <c r="O10" i="133"/>
  <c r="I13" i="133"/>
  <c r="G115" i="133"/>
  <c r="I9" i="133"/>
  <c r="U11" i="133"/>
  <c r="O14" i="133"/>
  <c r="F8" i="133"/>
  <c r="L9" i="133"/>
  <c r="F10" i="133"/>
  <c r="R10" i="133"/>
  <c r="F12" i="133"/>
  <c r="R12" i="133"/>
  <c r="L13" i="133"/>
  <c r="B125" i="133"/>
  <c r="C125" i="133" s="1"/>
  <c r="L111" i="133" s="1"/>
  <c r="B131" i="133"/>
  <c r="C131" i="133" s="1"/>
  <c r="D147" i="132"/>
  <c r="F101" i="132"/>
  <c r="F147" i="132" s="1"/>
  <c r="F100" i="132"/>
  <c r="F146" i="132" s="1"/>
  <c r="D144" i="132"/>
  <c r="F98" i="132"/>
  <c r="F144" i="132" s="1"/>
  <c r="D148" i="132"/>
  <c r="E102" i="132"/>
  <c r="E148" i="132" s="1"/>
  <c r="F102" i="132"/>
  <c r="F148" i="132" s="1"/>
  <c r="F99" i="132"/>
  <c r="F145" i="132" s="1"/>
  <c r="D142" i="132"/>
  <c r="F96" i="132"/>
  <c r="F142" i="132" s="1"/>
  <c r="D140" i="132"/>
  <c r="D115" i="132"/>
  <c r="B131" i="132"/>
  <c r="C131" i="132" s="1"/>
  <c r="B125" i="132"/>
  <c r="C125" i="132" s="1"/>
  <c r="L111" i="132" s="1"/>
  <c r="F14" i="132"/>
  <c r="R12" i="132"/>
  <c r="F12" i="132"/>
  <c r="L11" i="132"/>
  <c r="R10" i="132"/>
  <c r="F10" i="132"/>
  <c r="F8" i="132"/>
  <c r="U15" i="132"/>
  <c r="I15" i="132"/>
  <c r="U13" i="132"/>
  <c r="I13" i="132"/>
  <c r="U11" i="132"/>
  <c r="I11" i="132"/>
  <c r="I9" i="132"/>
  <c r="E109" i="132" s="1"/>
  <c r="F15" i="132"/>
  <c r="F13" i="132"/>
  <c r="F11" i="132"/>
  <c r="L10" i="132"/>
  <c r="D108" i="132"/>
  <c r="B132" i="132"/>
  <c r="C132" i="132" s="1"/>
  <c r="O15" i="132"/>
  <c r="U14" i="132"/>
  <c r="I14" i="132"/>
  <c r="O13" i="132"/>
  <c r="U12" i="132"/>
  <c r="I12" i="132"/>
  <c r="O11" i="132"/>
  <c r="U10" i="132"/>
  <c r="I10" i="132"/>
  <c r="B129" i="132"/>
  <c r="C129" i="132" s="1"/>
  <c r="B126" i="132"/>
  <c r="C126" i="132" s="1"/>
  <c r="L112" i="132" s="1"/>
  <c r="T115" i="129"/>
  <c r="E116" i="129"/>
  <c r="B126" i="129"/>
  <c r="C126" i="129" s="1"/>
  <c r="L112" i="129" s="1"/>
  <c r="B129" i="129"/>
  <c r="C129" i="129" s="1"/>
  <c r="L8" i="129"/>
  <c r="F9" i="129"/>
  <c r="L10" i="129"/>
  <c r="F11" i="129"/>
  <c r="L12" i="129"/>
  <c r="F13" i="129"/>
  <c r="L14" i="129"/>
  <c r="F15" i="129"/>
  <c r="D93" i="129"/>
  <c r="D96" i="129"/>
  <c r="D97" i="129"/>
  <c r="D100" i="129"/>
  <c r="D101" i="129"/>
  <c r="D102" i="129"/>
  <c r="C124" i="129"/>
  <c r="L110" i="129" s="1"/>
  <c r="B127" i="129"/>
  <c r="C127" i="129" s="1"/>
  <c r="L113" i="129" s="1"/>
  <c r="B130" i="129"/>
  <c r="C130" i="129" s="1"/>
  <c r="I13" i="129"/>
  <c r="I12" i="129"/>
  <c r="I9" i="129"/>
  <c r="O10" i="129"/>
  <c r="I15" i="129"/>
  <c r="E92" i="129"/>
  <c r="E138" i="129" s="1"/>
  <c r="F8" i="129"/>
  <c r="L9" i="129"/>
  <c r="F10" i="129"/>
  <c r="F12" i="129"/>
  <c r="L13" i="129"/>
  <c r="B125" i="129"/>
  <c r="C125" i="129" s="1"/>
  <c r="L111" i="129" s="1"/>
  <c r="B131" i="129"/>
  <c r="C131" i="129" s="1"/>
  <c r="I8" i="129"/>
  <c r="I10" i="129"/>
  <c r="I14" i="129"/>
  <c r="E99" i="129" s="1"/>
  <c r="E145" i="129" s="1"/>
  <c r="O8" i="129"/>
  <c r="O12" i="129"/>
  <c r="F95" i="132" l="1"/>
  <c r="F141" i="132" s="1"/>
  <c r="F93" i="132"/>
  <c r="D143" i="132"/>
  <c r="E94" i="132"/>
  <c r="E140" i="132" s="1"/>
  <c r="E116" i="135"/>
  <c r="F97" i="135"/>
  <c r="F143" i="135" s="1"/>
  <c r="E100" i="136"/>
  <c r="E146" i="136" s="1"/>
  <c r="F98" i="129"/>
  <c r="F144" i="129" s="1"/>
  <c r="D141" i="129"/>
  <c r="E100" i="133"/>
  <c r="E146" i="133" s="1"/>
  <c r="E114" i="133"/>
  <c r="E94" i="133"/>
  <c r="E140" i="133" s="1"/>
  <c r="D146" i="133"/>
  <c r="E99" i="133"/>
  <c r="E145" i="133" s="1"/>
  <c r="E99" i="137"/>
  <c r="E145" i="137" s="1"/>
  <c r="F99" i="137"/>
  <c r="F145" i="137" s="1"/>
  <c r="F97" i="137"/>
  <c r="F143" i="137" s="1"/>
  <c r="E100" i="134"/>
  <c r="E146" i="134" s="1"/>
  <c r="E94" i="136"/>
  <c r="E140" i="136" s="1"/>
  <c r="E96" i="136"/>
  <c r="E142" i="136" s="1"/>
  <c r="F97" i="136"/>
  <c r="F143" i="136" s="1"/>
  <c r="D144" i="136"/>
  <c r="F94" i="129"/>
  <c r="F140" i="129" s="1"/>
  <c r="D145" i="129"/>
  <c r="F96" i="138"/>
  <c r="F142" i="138" s="1"/>
  <c r="E100" i="138"/>
  <c r="E146" i="138" s="1"/>
  <c r="E98" i="138"/>
  <c r="E144" i="138" s="1"/>
  <c r="E111" i="138"/>
  <c r="F98" i="138"/>
  <c r="F144" i="138" s="1"/>
  <c r="F97" i="138"/>
  <c r="F143" i="138" s="1"/>
  <c r="E108" i="138"/>
  <c r="E93" i="138"/>
  <c r="E139" i="138" s="1"/>
  <c r="D140" i="138"/>
  <c r="F94" i="138"/>
  <c r="F140" i="138" s="1"/>
  <c r="E115" i="138"/>
  <c r="E109" i="138"/>
  <c r="E96" i="138"/>
  <c r="E142" i="138" s="1"/>
  <c r="E113" i="138"/>
  <c r="D139" i="138"/>
  <c r="F93" i="138"/>
  <c r="E110" i="138"/>
  <c r="E95" i="138"/>
  <c r="E141" i="138" s="1"/>
  <c r="F100" i="138"/>
  <c r="F146" i="138" s="1"/>
  <c r="D146" i="138"/>
  <c r="E97" i="138"/>
  <c r="E143" i="138" s="1"/>
  <c r="E112" i="138"/>
  <c r="F95" i="138"/>
  <c r="F141" i="138" s="1"/>
  <c r="D141" i="138"/>
  <c r="E96" i="137"/>
  <c r="E142" i="137" s="1"/>
  <c r="E98" i="137"/>
  <c r="E144" i="137" s="1"/>
  <c r="E114" i="137"/>
  <c r="E94" i="137"/>
  <c r="E140" i="137" s="1"/>
  <c r="D144" i="137"/>
  <c r="E111" i="137"/>
  <c r="D142" i="137"/>
  <c r="E109" i="137"/>
  <c r="E97" i="137"/>
  <c r="E143" i="137" s="1"/>
  <c r="E112" i="137"/>
  <c r="F100" i="137"/>
  <c r="F146" i="137" s="1"/>
  <c r="D146" i="137"/>
  <c r="F95" i="137"/>
  <c r="F141" i="137" s="1"/>
  <c r="D141" i="137"/>
  <c r="E110" i="137"/>
  <c r="E95" i="137"/>
  <c r="E141" i="137" s="1"/>
  <c r="F94" i="137"/>
  <c r="F140" i="137" s="1"/>
  <c r="D140" i="137"/>
  <c r="E113" i="137"/>
  <c r="E108" i="137"/>
  <c r="E93" i="137"/>
  <c r="E139" i="137" s="1"/>
  <c r="D139" i="137"/>
  <c r="F93" i="137"/>
  <c r="E100" i="137"/>
  <c r="E146" i="137" s="1"/>
  <c r="E114" i="136"/>
  <c r="E113" i="136"/>
  <c r="E109" i="136"/>
  <c r="E111" i="136"/>
  <c r="D145" i="136"/>
  <c r="D142" i="136"/>
  <c r="F100" i="136"/>
  <c r="F146" i="136" s="1"/>
  <c r="D146" i="136"/>
  <c r="E99" i="136"/>
  <c r="E145" i="136" s="1"/>
  <c r="F95" i="136"/>
  <c r="F141" i="136" s="1"/>
  <c r="D141" i="136"/>
  <c r="D140" i="136"/>
  <c r="F94" i="136"/>
  <c r="F140" i="136" s="1"/>
  <c r="E97" i="136"/>
  <c r="E143" i="136" s="1"/>
  <c r="E112" i="136"/>
  <c r="D139" i="136"/>
  <c r="F93" i="136"/>
  <c r="E98" i="136"/>
  <c r="E144" i="136" s="1"/>
  <c r="E108" i="136"/>
  <c r="E93" i="136"/>
  <c r="E139" i="136" s="1"/>
  <c r="E115" i="136"/>
  <c r="E110" i="136"/>
  <c r="E95" i="136"/>
  <c r="E141" i="136" s="1"/>
  <c r="F98" i="135"/>
  <c r="F144" i="135" s="1"/>
  <c r="E96" i="135"/>
  <c r="E142" i="135" s="1"/>
  <c r="D142" i="135"/>
  <c r="D145" i="135"/>
  <c r="E98" i="135"/>
  <c r="E144" i="135" s="1"/>
  <c r="E115" i="135"/>
  <c r="E111" i="135"/>
  <c r="E99" i="135"/>
  <c r="E145" i="135" s="1"/>
  <c r="E94" i="135"/>
  <c r="E140" i="135" s="1"/>
  <c r="E114" i="135"/>
  <c r="E109" i="135"/>
  <c r="E100" i="135"/>
  <c r="E146" i="135" s="1"/>
  <c r="F94" i="135"/>
  <c r="F140" i="135" s="1"/>
  <c r="D140" i="135"/>
  <c r="D139" i="135"/>
  <c r="F93" i="135"/>
  <c r="E108" i="135"/>
  <c r="E93" i="135"/>
  <c r="E139" i="135" s="1"/>
  <c r="E97" i="135"/>
  <c r="E143" i="135" s="1"/>
  <c r="E112" i="135"/>
  <c r="E113" i="135"/>
  <c r="E110" i="135"/>
  <c r="E95" i="135"/>
  <c r="E141" i="135" s="1"/>
  <c r="F100" i="135"/>
  <c r="F146" i="135" s="1"/>
  <c r="D146" i="135"/>
  <c r="F95" i="135"/>
  <c r="F141" i="135" s="1"/>
  <c r="D141" i="135"/>
  <c r="E96" i="134"/>
  <c r="E142" i="134" s="1"/>
  <c r="D143" i="134"/>
  <c r="E98" i="134"/>
  <c r="E144" i="134" s="1"/>
  <c r="D142" i="134"/>
  <c r="E115" i="134"/>
  <c r="F98" i="134"/>
  <c r="F144" i="134" s="1"/>
  <c r="F99" i="134"/>
  <c r="F145" i="134" s="1"/>
  <c r="E109" i="134"/>
  <c r="E94" i="134"/>
  <c r="E140" i="134" s="1"/>
  <c r="E99" i="134"/>
  <c r="E145" i="134" s="1"/>
  <c r="E108" i="134"/>
  <c r="E93" i="134"/>
  <c r="E139" i="134" s="1"/>
  <c r="F95" i="134"/>
  <c r="F141" i="134" s="1"/>
  <c r="D141" i="134"/>
  <c r="D140" i="134"/>
  <c r="F94" i="134"/>
  <c r="F140" i="134" s="1"/>
  <c r="D139" i="134"/>
  <c r="F93" i="134"/>
  <c r="E114" i="134"/>
  <c r="E111" i="134"/>
  <c r="F100" i="134"/>
  <c r="F146" i="134" s="1"/>
  <c r="D146" i="134"/>
  <c r="E97" i="134"/>
  <c r="E143" i="134" s="1"/>
  <c r="E112" i="134"/>
  <c r="E113" i="134"/>
  <c r="E110" i="134"/>
  <c r="E95" i="134"/>
  <c r="E141" i="134" s="1"/>
  <c r="F94" i="133"/>
  <c r="F140" i="133" s="1"/>
  <c r="E96" i="133"/>
  <c r="E142" i="133" s="1"/>
  <c r="F95" i="133"/>
  <c r="F141" i="133" s="1"/>
  <c r="E98" i="133"/>
  <c r="E144" i="133" s="1"/>
  <c r="F93" i="133"/>
  <c r="F97" i="133"/>
  <c r="F143" i="133" s="1"/>
  <c r="F98" i="133"/>
  <c r="F144" i="133" s="1"/>
  <c r="D142" i="133"/>
  <c r="D145" i="133"/>
  <c r="E109" i="133"/>
  <c r="E110" i="133"/>
  <c r="E95" i="133"/>
  <c r="E141" i="133" s="1"/>
  <c r="E113" i="133"/>
  <c r="E97" i="133"/>
  <c r="E143" i="133" s="1"/>
  <c r="E112" i="133"/>
  <c r="E111" i="133"/>
  <c r="E108" i="133"/>
  <c r="E93" i="133"/>
  <c r="E139" i="133" s="1"/>
  <c r="E97" i="132"/>
  <c r="E143" i="132" s="1"/>
  <c r="E112" i="132"/>
  <c r="F139" i="132"/>
  <c r="J92" i="132"/>
  <c r="J93" i="132"/>
  <c r="J94" i="132"/>
  <c r="J95" i="132"/>
  <c r="J96" i="132"/>
  <c r="J97" i="132"/>
  <c r="J98" i="132"/>
  <c r="J99" i="132"/>
  <c r="J100" i="132"/>
  <c r="E96" i="132"/>
  <c r="E142" i="132" s="1"/>
  <c r="E111" i="132"/>
  <c r="E114" i="132"/>
  <c r="E99" i="132"/>
  <c r="E145" i="132" s="1"/>
  <c r="E113" i="132"/>
  <c r="E98" i="132"/>
  <c r="E144" i="132" s="1"/>
  <c r="E100" i="132"/>
  <c r="E146" i="132" s="1"/>
  <c r="E115" i="132"/>
  <c r="E93" i="132"/>
  <c r="E139" i="132" s="1"/>
  <c r="E108" i="132"/>
  <c r="E110" i="132"/>
  <c r="E95" i="132"/>
  <c r="E141" i="132" s="1"/>
  <c r="E100" i="129"/>
  <c r="E146" i="129" s="1"/>
  <c r="E115" i="129"/>
  <c r="E102" i="129"/>
  <c r="E148" i="129" s="1"/>
  <c r="D148" i="129"/>
  <c r="F102" i="129"/>
  <c r="F148" i="129" s="1"/>
  <c r="E98" i="129"/>
  <c r="E144" i="129" s="1"/>
  <c r="E113" i="129"/>
  <c r="D147" i="129"/>
  <c r="F101" i="129"/>
  <c r="F147" i="129" s="1"/>
  <c r="E114" i="129"/>
  <c r="E108" i="129"/>
  <c r="E93" i="129"/>
  <c r="E139" i="129" s="1"/>
  <c r="D139" i="129"/>
  <c r="F93" i="129"/>
  <c r="F100" i="129"/>
  <c r="F146" i="129" s="1"/>
  <c r="D146" i="129"/>
  <c r="E111" i="129"/>
  <c r="E96" i="129"/>
  <c r="E142" i="129" s="1"/>
  <c r="E97" i="129"/>
  <c r="E143" i="129" s="1"/>
  <c r="E112" i="129"/>
  <c r="D143" i="129"/>
  <c r="F97" i="129"/>
  <c r="F143" i="129" s="1"/>
  <c r="E110" i="129"/>
  <c r="E95" i="129"/>
  <c r="E141" i="129" s="1"/>
  <c r="F96" i="129"/>
  <c r="F142" i="129" s="1"/>
  <c r="D142" i="129"/>
  <c r="E94" i="129"/>
  <c r="E140" i="129" s="1"/>
  <c r="E109" i="129"/>
  <c r="C148" i="126"/>
  <c r="B148" i="126"/>
  <c r="A148" i="126"/>
  <c r="C147" i="126"/>
  <c r="B147" i="126"/>
  <c r="A147" i="126"/>
  <c r="C146" i="126"/>
  <c r="B146" i="126"/>
  <c r="A146" i="126"/>
  <c r="C145" i="126"/>
  <c r="B145" i="126"/>
  <c r="A145" i="126"/>
  <c r="C144" i="126"/>
  <c r="B144" i="126"/>
  <c r="A144" i="126"/>
  <c r="C143" i="126"/>
  <c r="B143" i="126"/>
  <c r="A143" i="126"/>
  <c r="C142" i="126"/>
  <c r="B142" i="126"/>
  <c r="A142" i="126"/>
  <c r="C141" i="126"/>
  <c r="B141" i="126"/>
  <c r="A141" i="126"/>
  <c r="C140" i="126"/>
  <c r="B140" i="126"/>
  <c r="A140" i="126"/>
  <c r="C139" i="126"/>
  <c r="B139" i="126"/>
  <c r="A139" i="126"/>
  <c r="B124" i="126"/>
  <c r="B128" i="126" s="1"/>
  <c r="C128" i="126" s="1"/>
  <c r="C117" i="126"/>
  <c r="B117" i="126"/>
  <c r="A117" i="126"/>
  <c r="C116" i="126"/>
  <c r="B116" i="126"/>
  <c r="A116" i="126"/>
  <c r="L115" i="126"/>
  <c r="M115" i="126" s="1"/>
  <c r="J115" i="126"/>
  <c r="I115" i="126"/>
  <c r="C115" i="126"/>
  <c r="B115" i="126"/>
  <c r="A115" i="126"/>
  <c r="S114" i="126"/>
  <c r="T114" i="126" s="1"/>
  <c r="Q114" i="126"/>
  <c r="O114" i="126"/>
  <c r="L114" i="126"/>
  <c r="M114" i="126" s="1"/>
  <c r="J114" i="126"/>
  <c r="I114" i="126"/>
  <c r="C114" i="126"/>
  <c r="B114" i="126"/>
  <c r="A114" i="126"/>
  <c r="S113" i="126"/>
  <c r="T113" i="126" s="1"/>
  <c r="Q113" i="126"/>
  <c r="O113" i="126"/>
  <c r="C113" i="126"/>
  <c r="B113" i="126"/>
  <c r="A113" i="126"/>
  <c r="S112" i="126"/>
  <c r="T112" i="126" s="1"/>
  <c r="Q112" i="126"/>
  <c r="O112" i="126"/>
  <c r="C112" i="126"/>
  <c r="B112" i="126"/>
  <c r="A112" i="126"/>
  <c r="S111" i="126"/>
  <c r="T111" i="126" s="1"/>
  <c r="Q111" i="126"/>
  <c r="P111" i="126"/>
  <c r="G113" i="126" s="1"/>
  <c r="O111" i="126"/>
  <c r="C111" i="126"/>
  <c r="B111" i="126"/>
  <c r="A111" i="126"/>
  <c r="S110" i="126"/>
  <c r="T110" i="126" s="1"/>
  <c r="Q110" i="126"/>
  <c r="O110" i="126"/>
  <c r="C110" i="126"/>
  <c r="B110" i="126"/>
  <c r="A110" i="126"/>
  <c r="S109" i="126"/>
  <c r="T109" i="126" s="1"/>
  <c r="Q109" i="126"/>
  <c r="O109" i="126"/>
  <c r="L109" i="126"/>
  <c r="M109" i="126" s="1"/>
  <c r="J109" i="126"/>
  <c r="I109" i="126"/>
  <c r="C109" i="126"/>
  <c r="B109" i="126"/>
  <c r="A109" i="126"/>
  <c r="S108" i="126"/>
  <c r="T108" i="126" s="1"/>
  <c r="Q108" i="126"/>
  <c r="O108" i="126"/>
  <c r="L108" i="126"/>
  <c r="M108" i="126" s="1"/>
  <c r="J108" i="126"/>
  <c r="I108" i="126"/>
  <c r="C108" i="126"/>
  <c r="B108" i="126"/>
  <c r="A108" i="126"/>
  <c r="D107" i="126"/>
  <c r="C102" i="126"/>
  <c r="B102" i="126"/>
  <c r="A102" i="126"/>
  <c r="C101" i="126"/>
  <c r="B101" i="126"/>
  <c r="A101" i="126"/>
  <c r="C100" i="126"/>
  <c r="B100" i="126"/>
  <c r="A100" i="126"/>
  <c r="C99" i="126"/>
  <c r="B99" i="126"/>
  <c r="A99" i="126"/>
  <c r="C98" i="126"/>
  <c r="B98" i="126"/>
  <c r="A98" i="126"/>
  <c r="C97" i="126"/>
  <c r="B97" i="126"/>
  <c r="A97" i="126"/>
  <c r="C96" i="126"/>
  <c r="B96" i="126"/>
  <c r="A96" i="126"/>
  <c r="C95" i="126"/>
  <c r="B95" i="126"/>
  <c r="A95" i="126"/>
  <c r="C94" i="126"/>
  <c r="B94" i="126"/>
  <c r="A94" i="126"/>
  <c r="C93" i="126"/>
  <c r="B93" i="126"/>
  <c r="A93" i="126"/>
  <c r="D92" i="126"/>
  <c r="D138" i="126" s="1"/>
  <c r="S86" i="126"/>
  <c r="P86" i="126"/>
  <c r="M86" i="126"/>
  <c r="J86" i="126"/>
  <c r="G86" i="126"/>
  <c r="D86" i="126"/>
  <c r="S85" i="126"/>
  <c r="P85" i="126"/>
  <c r="M85" i="126"/>
  <c r="J85" i="126"/>
  <c r="G85" i="126"/>
  <c r="D85" i="126"/>
  <c r="U84" i="126"/>
  <c r="T84" i="126"/>
  <c r="R84" i="126"/>
  <c r="Q84" i="126"/>
  <c r="O84" i="126"/>
  <c r="N84" i="126"/>
  <c r="L84" i="126"/>
  <c r="K84" i="126"/>
  <c r="I84" i="126"/>
  <c r="H84" i="126"/>
  <c r="F84" i="126"/>
  <c r="E84" i="126"/>
  <c r="C84" i="126"/>
  <c r="B84" i="126"/>
  <c r="A84" i="126"/>
  <c r="U83" i="126"/>
  <c r="T83" i="126"/>
  <c r="R83" i="126"/>
  <c r="Q83" i="126"/>
  <c r="O83" i="126"/>
  <c r="N83" i="126"/>
  <c r="L83" i="126"/>
  <c r="K83" i="126"/>
  <c r="I83" i="126"/>
  <c r="H83" i="126"/>
  <c r="F83" i="126"/>
  <c r="E83" i="126"/>
  <c r="C83" i="126"/>
  <c r="B83" i="126"/>
  <c r="A83" i="126"/>
  <c r="U82" i="126"/>
  <c r="T82" i="126"/>
  <c r="R82" i="126"/>
  <c r="Q82" i="126"/>
  <c r="O82" i="126"/>
  <c r="N82" i="126"/>
  <c r="L82" i="126"/>
  <c r="K82" i="126"/>
  <c r="I82" i="126"/>
  <c r="H82" i="126"/>
  <c r="F82" i="126"/>
  <c r="E82" i="126"/>
  <c r="C82" i="126"/>
  <c r="B82" i="126"/>
  <c r="A82" i="126"/>
  <c r="U81" i="126"/>
  <c r="T81" i="126"/>
  <c r="R81" i="126"/>
  <c r="Q81" i="126"/>
  <c r="O81" i="126"/>
  <c r="N81" i="126"/>
  <c r="L81" i="126"/>
  <c r="K81" i="126"/>
  <c r="I81" i="126"/>
  <c r="H81" i="126"/>
  <c r="F81" i="126"/>
  <c r="E81" i="126"/>
  <c r="C81" i="126"/>
  <c r="B81" i="126"/>
  <c r="A81" i="126"/>
  <c r="U80" i="126"/>
  <c r="T80" i="126"/>
  <c r="R80" i="126"/>
  <c r="Q80" i="126"/>
  <c r="O80" i="126"/>
  <c r="N80" i="126"/>
  <c r="L80" i="126"/>
  <c r="K80" i="126"/>
  <c r="I80" i="126"/>
  <c r="H80" i="126"/>
  <c r="F80" i="126"/>
  <c r="E80" i="126"/>
  <c r="C80" i="126"/>
  <c r="B80" i="126"/>
  <c r="A80" i="126"/>
  <c r="U79" i="126"/>
  <c r="T79" i="126"/>
  <c r="R79" i="126"/>
  <c r="Q79" i="126"/>
  <c r="O79" i="126"/>
  <c r="N79" i="126"/>
  <c r="L79" i="126"/>
  <c r="K79" i="126"/>
  <c r="I79" i="126"/>
  <c r="H79" i="126"/>
  <c r="F79" i="126"/>
  <c r="E79" i="126"/>
  <c r="C79" i="126"/>
  <c r="B79" i="126"/>
  <c r="A79" i="126"/>
  <c r="U78" i="126"/>
  <c r="T78" i="126"/>
  <c r="R78" i="126"/>
  <c r="Q78" i="126"/>
  <c r="O78" i="126"/>
  <c r="N78" i="126"/>
  <c r="L78" i="126"/>
  <c r="K78" i="126"/>
  <c r="I78" i="126"/>
  <c r="H78" i="126"/>
  <c r="F78" i="126"/>
  <c r="E78" i="126"/>
  <c r="C78" i="126"/>
  <c r="B78" i="126"/>
  <c r="A78" i="126"/>
  <c r="U77" i="126"/>
  <c r="T77" i="126"/>
  <c r="R77" i="126"/>
  <c r="Q77" i="126"/>
  <c r="O77" i="126"/>
  <c r="N77" i="126"/>
  <c r="L77" i="126"/>
  <c r="K77" i="126"/>
  <c r="I77" i="126"/>
  <c r="H77" i="126"/>
  <c r="F77" i="126"/>
  <c r="E77" i="126"/>
  <c r="C77" i="126"/>
  <c r="B77" i="126"/>
  <c r="A77" i="126"/>
  <c r="U76" i="126"/>
  <c r="T76" i="126"/>
  <c r="R76" i="126"/>
  <c r="Q76" i="126"/>
  <c r="O76" i="126"/>
  <c r="N76" i="126"/>
  <c r="L76" i="126"/>
  <c r="K76" i="126"/>
  <c r="I76" i="126"/>
  <c r="H76" i="126"/>
  <c r="F76" i="126"/>
  <c r="E76" i="126"/>
  <c r="C76" i="126"/>
  <c r="B76" i="126"/>
  <c r="A76" i="126"/>
  <c r="U75" i="126"/>
  <c r="T75" i="126"/>
  <c r="R75" i="126"/>
  <c r="Q75" i="126"/>
  <c r="O75" i="126"/>
  <c r="N75" i="126"/>
  <c r="L75" i="126"/>
  <c r="K75" i="126"/>
  <c r="I75" i="126"/>
  <c r="H75" i="126"/>
  <c r="F75" i="126"/>
  <c r="E75" i="126"/>
  <c r="C75" i="126"/>
  <c r="B75" i="126"/>
  <c r="A75" i="126"/>
  <c r="U74" i="126"/>
  <c r="R74" i="126"/>
  <c r="O74" i="126"/>
  <c r="L74" i="126"/>
  <c r="I74" i="126"/>
  <c r="F74" i="126"/>
  <c r="S69" i="126"/>
  <c r="P69" i="126"/>
  <c r="M69" i="126"/>
  <c r="J69" i="126"/>
  <c r="G69" i="126"/>
  <c r="D69" i="126"/>
  <c r="S68" i="126"/>
  <c r="P68" i="126"/>
  <c r="M68" i="126"/>
  <c r="J68" i="126"/>
  <c r="G68" i="126"/>
  <c r="D68" i="126"/>
  <c r="U67" i="126"/>
  <c r="T67" i="126"/>
  <c r="R67" i="126"/>
  <c r="Q67" i="126"/>
  <c r="O67" i="126"/>
  <c r="N67" i="126"/>
  <c r="L67" i="126"/>
  <c r="K67" i="126"/>
  <c r="I67" i="126"/>
  <c r="H67" i="126"/>
  <c r="F67" i="126"/>
  <c r="E67" i="126"/>
  <c r="C67" i="126"/>
  <c r="B67" i="126"/>
  <c r="U66" i="126"/>
  <c r="T66" i="126"/>
  <c r="R66" i="126"/>
  <c r="Q66" i="126"/>
  <c r="O66" i="126"/>
  <c r="N66" i="126"/>
  <c r="L66" i="126"/>
  <c r="K66" i="126"/>
  <c r="I66" i="126"/>
  <c r="H66" i="126"/>
  <c r="F66" i="126"/>
  <c r="E66" i="126"/>
  <c r="C66" i="126"/>
  <c r="B66" i="126"/>
  <c r="U65" i="126"/>
  <c r="T65" i="126"/>
  <c r="R65" i="126"/>
  <c r="Q65" i="126"/>
  <c r="O65" i="126"/>
  <c r="N65" i="126"/>
  <c r="L65" i="126"/>
  <c r="K65" i="126"/>
  <c r="I65" i="126"/>
  <c r="H65" i="126"/>
  <c r="F65" i="126"/>
  <c r="E65" i="126"/>
  <c r="C65" i="126"/>
  <c r="B65" i="126"/>
  <c r="U64" i="126"/>
  <c r="T64" i="126"/>
  <c r="R64" i="126"/>
  <c r="Q64" i="126"/>
  <c r="O64" i="126"/>
  <c r="N64" i="126"/>
  <c r="L64" i="126"/>
  <c r="K64" i="126"/>
  <c r="I64" i="126"/>
  <c r="H64" i="126"/>
  <c r="F64" i="126"/>
  <c r="E64" i="126"/>
  <c r="C64" i="126"/>
  <c r="B64" i="126"/>
  <c r="U63" i="126"/>
  <c r="T63" i="126"/>
  <c r="R63" i="126"/>
  <c r="Q63" i="126"/>
  <c r="O63" i="126"/>
  <c r="N63" i="126"/>
  <c r="L63" i="126"/>
  <c r="K63" i="126"/>
  <c r="I63" i="126"/>
  <c r="H63" i="126"/>
  <c r="F63" i="126"/>
  <c r="E63" i="126"/>
  <c r="C63" i="126"/>
  <c r="B63" i="126"/>
  <c r="U62" i="126"/>
  <c r="T62" i="126"/>
  <c r="R62" i="126"/>
  <c r="Q62" i="126"/>
  <c r="O62" i="126"/>
  <c r="N62" i="126"/>
  <c r="L62" i="126"/>
  <c r="K62" i="126"/>
  <c r="I62" i="126"/>
  <c r="H62" i="126"/>
  <c r="F62" i="126"/>
  <c r="E62" i="126"/>
  <c r="C62" i="126"/>
  <c r="B62" i="126"/>
  <c r="U61" i="126"/>
  <c r="T61" i="126"/>
  <c r="R61" i="126"/>
  <c r="Q61" i="126"/>
  <c r="O61" i="126"/>
  <c r="N61" i="126"/>
  <c r="L61" i="126"/>
  <c r="K61" i="126"/>
  <c r="I61" i="126"/>
  <c r="H61" i="126"/>
  <c r="F61" i="126"/>
  <c r="E61" i="126"/>
  <c r="C61" i="126"/>
  <c r="B61" i="126"/>
  <c r="U60" i="126"/>
  <c r="T60" i="126"/>
  <c r="R60" i="126"/>
  <c r="Q60" i="126"/>
  <c r="O60" i="126"/>
  <c r="N60" i="126"/>
  <c r="L60" i="126"/>
  <c r="K60" i="126"/>
  <c r="I60" i="126"/>
  <c r="H60" i="126"/>
  <c r="F60" i="126"/>
  <c r="E60" i="126"/>
  <c r="C60" i="126"/>
  <c r="B60" i="126"/>
  <c r="U59" i="126"/>
  <c r="T59" i="126"/>
  <c r="R59" i="126"/>
  <c r="Q59" i="126"/>
  <c r="O59" i="126"/>
  <c r="N59" i="126"/>
  <c r="L59" i="126"/>
  <c r="K59" i="126"/>
  <c r="I59" i="126"/>
  <c r="H59" i="126"/>
  <c r="F59" i="126"/>
  <c r="E59" i="126"/>
  <c r="C59" i="126"/>
  <c r="B59" i="126"/>
  <c r="U58" i="126"/>
  <c r="T58" i="126"/>
  <c r="R58" i="126"/>
  <c r="Q58" i="126"/>
  <c r="O58" i="126"/>
  <c r="N58" i="126"/>
  <c r="L58" i="126"/>
  <c r="K58" i="126"/>
  <c r="I58" i="126"/>
  <c r="H58" i="126"/>
  <c r="F58" i="126"/>
  <c r="E58" i="126"/>
  <c r="C58" i="126"/>
  <c r="B58" i="126"/>
  <c r="U57" i="126"/>
  <c r="R57" i="126"/>
  <c r="O57" i="126"/>
  <c r="L57" i="126"/>
  <c r="I57" i="126"/>
  <c r="F57" i="126"/>
  <c r="S52" i="126"/>
  <c r="P52" i="126"/>
  <c r="M52" i="126"/>
  <c r="J52" i="126"/>
  <c r="G52" i="126"/>
  <c r="D52" i="126"/>
  <c r="S51" i="126"/>
  <c r="P51" i="126"/>
  <c r="M51" i="126"/>
  <c r="J51" i="126"/>
  <c r="G51" i="126"/>
  <c r="D51" i="126"/>
  <c r="U50" i="126"/>
  <c r="T50" i="126"/>
  <c r="R50" i="126"/>
  <c r="Q50" i="126"/>
  <c r="O50" i="126"/>
  <c r="N50" i="126"/>
  <c r="L50" i="126"/>
  <c r="K50" i="126"/>
  <c r="I50" i="126"/>
  <c r="H50" i="126"/>
  <c r="F50" i="126"/>
  <c r="E50" i="126"/>
  <c r="C50" i="126"/>
  <c r="B50" i="126"/>
  <c r="U49" i="126"/>
  <c r="T49" i="126"/>
  <c r="R49" i="126"/>
  <c r="Q49" i="126"/>
  <c r="O49" i="126"/>
  <c r="N49" i="126"/>
  <c r="L49" i="126"/>
  <c r="K49" i="126"/>
  <c r="I49" i="126"/>
  <c r="H49" i="126"/>
  <c r="F49" i="126"/>
  <c r="E49" i="126"/>
  <c r="C49" i="126"/>
  <c r="B49" i="126"/>
  <c r="U48" i="126"/>
  <c r="T48" i="126"/>
  <c r="R48" i="126"/>
  <c r="Q48" i="126"/>
  <c r="O48" i="126"/>
  <c r="N48" i="126"/>
  <c r="L48" i="126"/>
  <c r="K48" i="126"/>
  <c r="I48" i="126"/>
  <c r="H48" i="126"/>
  <c r="F48" i="126"/>
  <c r="E48" i="126"/>
  <c r="C48" i="126"/>
  <c r="B48" i="126"/>
  <c r="U47" i="126"/>
  <c r="T47" i="126"/>
  <c r="R47" i="126"/>
  <c r="Q47" i="126"/>
  <c r="O47" i="126"/>
  <c r="N47" i="126"/>
  <c r="L47" i="126"/>
  <c r="K47" i="126"/>
  <c r="I47" i="126"/>
  <c r="H47" i="126"/>
  <c r="F47" i="126"/>
  <c r="E47" i="126"/>
  <c r="C47" i="126"/>
  <c r="B47" i="126"/>
  <c r="U46" i="126"/>
  <c r="T46" i="126"/>
  <c r="R46" i="126"/>
  <c r="Q46" i="126"/>
  <c r="O46" i="126"/>
  <c r="N46" i="126"/>
  <c r="L46" i="126"/>
  <c r="K46" i="126"/>
  <c r="I46" i="126"/>
  <c r="H46" i="126"/>
  <c r="F46" i="126"/>
  <c r="E46" i="126"/>
  <c r="C46" i="126"/>
  <c r="B46" i="126"/>
  <c r="U45" i="126"/>
  <c r="T45" i="126"/>
  <c r="R45" i="126"/>
  <c r="Q45" i="126"/>
  <c r="O45" i="126"/>
  <c r="N45" i="126"/>
  <c r="L45" i="126"/>
  <c r="K45" i="126"/>
  <c r="I45" i="126"/>
  <c r="H45" i="126"/>
  <c r="F45" i="126"/>
  <c r="E45" i="126"/>
  <c r="C45" i="126"/>
  <c r="B45" i="126"/>
  <c r="U44" i="126"/>
  <c r="T44" i="126"/>
  <c r="R44" i="126"/>
  <c r="Q44" i="126"/>
  <c r="O44" i="126"/>
  <c r="N44" i="126"/>
  <c r="L44" i="126"/>
  <c r="K44" i="126"/>
  <c r="I44" i="126"/>
  <c r="H44" i="126"/>
  <c r="F44" i="126"/>
  <c r="E44" i="126"/>
  <c r="C44" i="126"/>
  <c r="B44" i="126"/>
  <c r="U43" i="126"/>
  <c r="T43" i="126"/>
  <c r="R43" i="126"/>
  <c r="Q43" i="126"/>
  <c r="O43" i="126"/>
  <c r="N43" i="126"/>
  <c r="L43" i="126"/>
  <c r="K43" i="126"/>
  <c r="I43" i="126"/>
  <c r="H43" i="126"/>
  <c r="F43" i="126"/>
  <c r="E43" i="126"/>
  <c r="C43" i="126"/>
  <c r="B43" i="126"/>
  <c r="U42" i="126"/>
  <c r="T42" i="126"/>
  <c r="R42" i="126"/>
  <c r="Q42" i="126"/>
  <c r="O42" i="126"/>
  <c r="N42" i="126"/>
  <c r="L42" i="126"/>
  <c r="K42" i="126"/>
  <c r="I42" i="126"/>
  <c r="H42" i="126"/>
  <c r="F42" i="126"/>
  <c r="E42" i="126"/>
  <c r="C42" i="126"/>
  <c r="B42" i="126"/>
  <c r="U41" i="126"/>
  <c r="T41" i="126"/>
  <c r="R41" i="126"/>
  <c r="Q41" i="126"/>
  <c r="O41" i="126"/>
  <c r="N41" i="126"/>
  <c r="L41" i="126"/>
  <c r="K41" i="126"/>
  <c r="I41" i="126"/>
  <c r="H41" i="126"/>
  <c r="F41" i="126"/>
  <c r="E41" i="126"/>
  <c r="C41" i="126"/>
  <c r="B41" i="126"/>
  <c r="U40" i="126"/>
  <c r="R40" i="126"/>
  <c r="O40" i="126"/>
  <c r="L40" i="126"/>
  <c r="I40" i="126"/>
  <c r="F40" i="126"/>
  <c r="S35" i="126"/>
  <c r="P35" i="126"/>
  <c r="M35" i="126"/>
  <c r="J35" i="126"/>
  <c r="L31" i="126" s="1"/>
  <c r="G35" i="126"/>
  <c r="I28" i="126" s="1"/>
  <c r="D35" i="126"/>
  <c r="S34" i="126"/>
  <c r="P34" i="126"/>
  <c r="M34" i="126"/>
  <c r="J34" i="126"/>
  <c r="G34" i="126"/>
  <c r="D34" i="126"/>
  <c r="U33" i="126"/>
  <c r="T33" i="126"/>
  <c r="R33" i="126"/>
  <c r="Q33" i="126"/>
  <c r="O33" i="126"/>
  <c r="N33" i="126"/>
  <c r="L33" i="126"/>
  <c r="K33" i="126"/>
  <c r="I33" i="126"/>
  <c r="H33" i="126"/>
  <c r="F33" i="126"/>
  <c r="E33" i="126"/>
  <c r="C33" i="126"/>
  <c r="B33" i="126"/>
  <c r="U32" i="126"/>
  <c r="T32" i="126"/>
  <c r="R32" i="126"/>
  <c r="Q32" i="126"/>
  <c r="O32" i="126"/>
  <c r="N32" i="126"/>
  <c r="L32" i="126"/>
  <c r="K32" i="126"/>
  <c r="I32" i="126"/>
  <c r="H32" i="126"/>
  <c r="F32" i="126"/>
  <c r="E32" i="126"/>
  <c r="C32" i="126"/>
  <c r="B32" i="126"/>
  <c r="U31" i="126"/>
  <c r="T31" i="126"/>
  <c r="R31" i="126"/>
  <c r="Q31" i="126"/>
  <c r="O31" i="126"/>
  <c r="N31" i="126"/>
  <c r="C31" i="126"/>
  <c r="B31" i="126"/>
  <c r="U30" i="126"/>
  <c r="T30" i="126"/>
  <c r="R30" i="126"/>
  <c r="Q30" i="126"/>
  <c r="O30" i="126"/>
  <c r="N30" i="126"/>
  <c r="C30" i="126"/>
  <c r="B30" i="126"/>
  <c r="U29" i="126"/>
  <c r="T29" i="126"/>
  <c r="R29" i="126"/>
  <c r="Q29" i="126"/>
  <c r="O29" i="126"/>
  <c r="N29" i="126"/>
  <c r="C29" i="126"/>
  <c r="B29" i="126"/>
  <c r="U28" i="126"/>
  <c r="T28" i="126"/>
  <c r="R28" i="126"/>
  <c r="Q28" i="126"/>
  <c r="O28" i="126"/>
  <c r="N28" i="126"/>
  <c r="C28" i="126"/>
  <c r="B28" i="126"/>
  <c r="U27" i="126"/>
  <c r="T27" i="126"/>
  <c r="R27" i="126"/>
  <c r="Q27" i="126"/>
  <c r="O27" i="126"/>
  <c r="N27" i="126"/>
  <c r="C27" i="126"/>
  <c r="B27" i="126"/>
  <c r="U26" i="126"/>
  <c r="T26" i="126"/>
  <c r="R26" i="126"/>
  <c r="Q26" i="126"/>
  <c r="O26" i="126"/>
  <c r="N26" i="126"/>
  <c r="C26" i="126"/>
  <c r="B26" i="126"/>
  <c r="U25" i="126"/>
  <c r="T25" i="126"/>
  <c r="R25" i="126"/>
  <c r="Q25" i="126"/>
  <c r="O25" i="126"/>
  <c r="N25" i="126"/>
  <c r="C25" i="126"/>
  <c r="B25" i="126"/>
  <c r="U24" i="126"/>
  <c r="T24" i="126"/>
  <c r="R24" i="126"/>
  <c r="Q24" i="126"/>
  <c r="O24" i="126"/>
  <c r="N24" i="126"/>
  <c r="C24" i="126"/>
  <c r="B24" i="126"/>
  <c r="U23" i="126"/>
  <c r="R23" i="126"/>
  <c r="O23" i="126"/>
  <c r="L23" i="126"/>
  <c r="I23" i="126"/>
  <c r="F23" i="126"/>
  <c r="S19" i="126"/>
  <c r="U15" i="126" s="1"/>
  <c r="P19" i="126"/>
  <c r="R15" i="126" s="1"/>
  <c r="M19" i="126"/>
  <c r="O8" i="126" s="1"/>
  <c r="J19" i="126"/>
  <c r="G19" i="126"/>
  <c r="D19" i="126"/>
  <c r="S18" i="126"/>
  <c r="P18" i="126"/>
  <c r="M18" i="126"/>
  <c r="J18" i="126"/>
  <c r="G18" i="126"/>
  <c r="D18" i="126"/>
  <c r="U17" i="126"/>
  <c r="T17" i="126"/>
  <c r="R17" i="126"/>
  <c r="Q17" i="126"/>
  <c r="O17" i="126"/>
  <c r="N17" i="126"/>
  <c r="L17" i="126"/>
  <c r="K17" i="126"/>
  <c r="I17" i="126"/>
  <c r="H17" i="126"/>
  <c r="F17" i="126"/>
  <c r="E17" i="126"/>
  <c r="U16" i="126"/>
  <c r="T16" i="126"/>
  <c r="R16" i="126"/>
  <c r="Q16" i="126"/>
  <c r="O16" i="126"/>
  <c r="N16" i="126"/>
  <c r="L16" i="126"/>
  <c r="K16" i="126"/>
  <c r="I16" i="126"/>
  <c r="H16" i="126"/>
  <c r="F16" i="126"/>
  <c r="E16" i="126"/>
  <c r="T15" i="126"/>
  <c r="Q15" i="126"/>
  <c r="N15" i="126"/>
  <c r="K15" i="126"/>
  <c r="H15" i="126"/>
  <c r="E15" i="126"/>
  <c r="T14" i="126"/>
  <c r="Q14" i="126"/>
  <c r="N14" i="126"/>
  <c r="K14" i="126"/>
  <c r="H14" i="126"/>
  <c r="E14" i="126"/>
  <c r="T13" i="126"/>
  <c r="Q13" i="126"/>
  <c r="N13" i="126"/>
  <c r="K13" i="126"/>
  <c r="H13" i="126"/>
  <c r="E13" i="126"/>
  <c r="T12" i="126"/>
  <c r="Q12" i="126"/>
  <c r="N12" i="126"/>
  <c r="K12" i="126"/>
  <c r="H12" i="126"/>
  <c r="E12" i="126"/>
  <c r="T11" i="126"/>
  <c r="Q11" i="126"/>
  <c r="N11" i="126"/>
  <c r="K11" i="126"/>
  <c r="H11" i="126"/>
  <c r="E11" i="126"/>
  <c r="T10" i="126"/>
  <c r="Q10" i="126"/>
  <c r="N10" i="126"/>
  <c r="K10" i="126"/>
  <c r="H10" i="126"/>
  <c r="E10" i="126"/>
  <c r="T9" i="126"/>
  <c r="Q9" i="126"/>
  <c r="N9" i="126"/>
  <c r="K9" i="126"/>
  <c r="H9" i="126"/>
  <c r="E9" i="126"/>
  <c r="T8" i="126"/>
  <c r="Q8" i="126"/>
  <c r="N8" i="126"/>
  <c r="K8" i="126"/>
  <c r="H8" i="126"/>
  <c r="E8" i="126"/>
  <c r="U7" i="126"/>
  <c r="R7" i="126"/>
  <c r="O7" i="126"/>
  <c r="L7" i="126"/>
  <c r="L9" i="126" s="1"/>
  <c r="I7" i="126"/>
  <c r="F7" i="126"/>
  <c r="J100" i="138" l="1"/>
  <c r="J99" i="138"/>
  <c r="J98" i="138"/>
  <c r="J97" i="138"/>
  <c r="J96" i="138"/>
  <c r="J95" i="138"/>
  <c r="J94" i="138"/>
  <c r="J93" i="138"/>
  <c r="J92" i="138"/>
  <c r="F139" i="138"/>
  <c r="E124" i="138"/>
  <c r="E126" i="138"/>
  <c r="E125" i="138"/>
  <c r="U14" i="126"/>
  <c r="U13" i="126"/>
  <c r="U12" i="126"/>
  <c r="U10" i="126"/>
  <c r="U9" i="126"/>
  <c r="U8" i="126"/>
  <c r="U11" i="126"/>
  <c r="R9" i="126"/>
  <c r="R13" i="126"/>
  <c r="R8" i="126"/>
  <c r="R11" i="126"/>
  <c r="R14" i="126"/>
  <c r="R10" i="126"/>
  <c r="R12" i="126"/>
  <c r="I10" i="126"/>
  <c r="F12" i="126"/>
  <c r="E124" i="137"/>
  <c r="E126" i="137"/>
  <c r="E125" i="137"/>
  <c r="J100" i="137"/>
  <c r="J99" i="137"/>
  <c r="J98" i="137"/>
  <c r="J97" i="137"/>
  <c r="J96" i="137"/>
  <c r="J95" i="137"/>
  <c r="J94" i="137"/>
  <c r="J93" i="137"/>
  <c r="J92" i="137"/>
  <c r="F139" i="137"/>
  <c r="E124" i="136"/>
  <c r="E126" i="136"/>
  <c r="E125" i="136"/>
  <c r="J100" i="136"/>
  <c r="J99" i="136"/>
  <c r="J98" i="136"/>
  <c r="J97" i="136"/>
  <c r="J96" i="136"/>
  <c r="J95" i="136"/>
  <c r="J94" i="136"/>
  <c r="J93" i="136"/>
  <c r="J92" i="136"/>
  <c r="F139" i="136"/>
  <c r="J100" i="135"/>
  <c r="J99" i="135"/>
  <c r="J98" i="135"/>
  <c r="J97" i="135"/>
  <c r="J96" i="135"/>
  <c r="J95" i="135"/>
  <c r="J94" i="135"/>
  <c r="J93" i="135"/>
  <c r="J92" i="135"/>
  <c r="F139" i="135"/>
  <c r="E124" i="135"/>
  <c r="E126" i="135"/>
  <c r="E125" i="135"/>
  <c r="E124" i="134"/>
  <c r="E126" i="134"/>
  <c r="E125" i="134"/>
  <c r="J100" i="134"/>
  <c r="J99" i="134"/>
  <c r="J98" i="134"/>
  <c r="J97" i="134"/>
  <c r="J96" i="134"/>
  <c r="J95" i="134"/>
  <c r="J94" i="134"/>
  <c r="J93" i="134"/>
  <c r="J92" i="134"/>
  <c r="F139" i="134"/>
  <c r="J100" i="133"/>
  <c r="F139" i="133"/>
  <c r="J92" i="133"/>
  <c r="J93" i="133"/>
  <c r="J95" i="133"/>
  <c r="J94" i="133"/>
  <c r="J96" i="133"/>
  <c r="J97" i="133"/>
  <c r="J98" i="133"/>
  <c r="J99" i="133"/>
  <c r="E124" i="133"/>
  <c r="E126" i="133"/>
  <c r="E125" i="133"/>
  <c r="E125" i="132"/>
  <c r="E124" i="132"/>
  <c r="E126" i="132"/>
  <c r="J101" i="132"/>
  <c r="K101" i="132" s="1"/>
  <c r="J100" i="129"/>
  <c r="J99" i="129"/>
  <c r="J98" i="129"/>
  <c r="J97" i="129"/>
  <c r="J96" i="129"/>
  <c r="J95" i="129"/>
  <c r="J94" i="129"/>
  <c r="J93" i="129"/>
  <c r="J92" i="129"/>
  <c r="F139" i="129"/>
  <c r="E124" i="129"/>
  <c r="E126" i="129"/>
  <c r="E125" i="129"/>
  <c r="F14" i="126"/>
  <c r="C124" i="126"/>
  <c r="L110" i="126" s="1"/>
  <c r="I15" i="126"/>
  <c r="B127" i="126"/>
  <c r="C127" i="126" s="1"/>
  <c r="L113" i="126" s="1"/>
  <c r="L27" i="126"/>
  <c r="B130" i="126"/>
  <c r="C130" i="126" s="1"/>
  <c r="O9" i="126"/>
  <c r="B132" i="126"/>
  <c r="C132" i="126" s="1"/>
  <c r="D117" i="126"/>
  <c r="E117" i="126" s="1"/>
  <c r="F31" i="126"/>
  <c r="I26" i="126"/>
  <c r="I9" i="126"/>
  <c r="I25" i="126"/>
  <c r="I27" i="126"/>
  <c r="I29" i="126"/>
  <c r="I31" i="126"/>
  <c r="I24" i="126"/>
  <c r="I14" i="126"/>
  <c r="F15" i="126"/>
  <c r="I12" i="126"/>
  <c r="D116" i="126"/>
  <c r="L14" i="126"/>
  <c r="L26" i="126"/>
  <c r="I30" i="126"/>
  <c r="E107" i="126"/>
  <c r="E101" i="126"/>
  <c r="E147" i="126" s="1"/>
  <c r="I13" i="126"/>
  <c r="O15" i="126"/>
  <c r="R114" i="126"/>
  <c r="O10" i="126"/>
  <c r="O11" i="126"/>
  <c r="D98" i="126"/>
  <c r="F98" i="126" s="1"/>
  <c r="F144" i="126" s="1"/>
  <c r="L15" i="126"/>
  <c r="L12" i="126"/>
  <c r="L10" i="126"/>
  <c r="L13" i="126"/>
  <c r="L8" i="126"/>
  <c r="I8" i="126"/>
  <c r="K115" i="126"/>
  <c r="I11" i="126"/>
  <c r="F13" i="126"/>
  <c r="K109" i="126"/>
  <c r="K114" i="126"/>
  <c r="F8" i="126"/>
  <c r="F9" i="126"/>
  <c r="F10" i="126"/>
  <c r="F11" i="126"/>
  <c r="L24" i="126"/>
  <c r="L29" i="126"/>
  <c r="L25" i="126"/>
  <c r="L30" i="126"/>
  <c r="L28" i="126"/>
  <c r="D115" i="126"/>
  <c r="D96" i="126"/>
  <c r="D142" i="126" s="1"/>
  <c r="F24" i="126"/>
  <c r="F26" i="126"/>
  <c r="F28" i="126"/>
  <c r="F30" i="126"/>
  <c r="D99" i="126"/>
  <c r="D145" i="126" s="1"/>
  <c r="R109" i="126"/>
  <c r="D112" i="126"/>
  <c r="F25" i="126"/>
  <c r="F27" i="126"/>
  <c r="F29" i="126"/>
  <c r="D108" i="126"/>
  <c r="D109" i="126"/>
  <c r="D95" i="126"/>
  <c r="F95" i="126" s="1"/>
  <c r="F141" i="126" s="1"/>
  <c r="O12" i="126"/>
  <c r="O13" i="126"/>
  <c r="O14" i="126"/>
  <c r="G109" i="126"/>
  <c r="L11" i="126"/>
  <c r="G108" i="126"/>
  <c r="G111" i="126"/>
  <c r="G112" i="126"/>
  <c r="K108" i="126"/>
  <c r="R108" i="126"/>
  <c r="G110" i="126"/>
  <c r="R112" i="126"/>
  <c r="R113" i="126"/>
  <c r="T115" i="126"/>
  <c r="G114" i="126"/>
  <c r="R110" i="126"/>
  <c r="R111" i="126"/>
  <c r="E92" i="126"/>
  <c r="E138" i="126" s="1"/>
  <c r="D110" i="126"/>
  <c r="D113" i="126"/>
  <c r="E116" i="126"/>
  <c r="D111" i="126"/>
  <c r="D114" i="126"/>
  <c r="G115" i="126"/>
  <c r="B126" i="126"/>
  <c r="C126" i="126" s="1"/>
  <c r="L112" i="126" s="1"/>
  <c r="B129" i="126"/>
  <c r="C129" i="126" s="1"/>
  <c r="D93" i="126"/>
  <c r="D94" i="126"/>
  <c r="D97" i="126"/>
  <c r="D100" i="126"/>
  <c r="D101" i="126"/>
  <c r="D102" i="126"/>
  <c r="G116" i="126"/>
  <c r="G117" i="126"/>
  <c r="B125" i="126"/>
  <c r="C125" i="126" s="1"/>
  <c r="L111" i="126" s="1"/>
  <c r="B131" i="126"/>
  <c r="C131" i="126" s="1"/>
  <c r="K92" i="132" l="1"/>
  <c r="K97" i="132"/>
  <c r="K100" i="132"/>
  <c r="K94" i="132"/>
  <c r="K96" i="132"/>
  <c r="K93" i="132"/>
  <c r="K95" i="132"/>
  <c r="K98" i="132"/>
  <c r="K99" i="132"/>
  <c r="E127" i="137"/>
  <c r="E129" i="137" s="1"/>
  <c r="E127" i="138"/>
  <c r="E129" i="138" s="1"/>
  <c r="J111" i="138" s="1"/>
  <c r="E127" i="136"/>
  <c r="E129" i="136" s="1"/>
  <c r="E127" i="129"/>
  <c r="E129" i="129" s="1"/>
  <c r="J111" i="129" s="1"/>
  <c r="J112" i="138"/>
  <c r="I111" i="138"/>
  <c r="J101" i="138"/>
  <c r="K101" i="138" s="1"/>
  <c r="J101" i="137"/>
  <c r="K101" i="137" s="1"/>
  <c r="J112" i="137"/>
  <c r="J111" i="137"/>
  <c r="I111" i="137"/>
  <c r="J101" i="136"/>
  <c r="K101" i="136" s="1"/>
  <c r="J112" i="136"/>
  <c r="J111" i="136"/>
  <c r="I111" i="136"/>
  <c r="E127" i="135"/>
  <c r="E129" i="135" s="1"/>
  <c r="J111" i="135" s="1"/>
  <c r="J112" i="135"/>
  <c r="I111" i="135"/>
  <c r="J101" i="135"/>
  <c r="K101" i="135" s="1"/>
  <c r="E127" i="134"/>
  <c r="E129" i="134" s="1"/>
  <c r="J111" i="134" s="1"/>
  <c r="J101" i="134"/>
  <c r="K101" i="134" s="1"/>
  <c r="J112" i="134"/>
  <c r="I111" i="134"/>
  <c r="J101" i="133"/>
  <c r="K101" i="133" s="1"/>
  <c r="E127" i="133"/>
  <c r="E129" i="133" s="1"/>
  <c r="J111" i="133"/>
  <c r="J112" i="133"/>
  <c r="I111" i="133"/>
  <c r="I111" i="132"/>
  <c r="J112" i="132"/>
  <c r="E127" i="132"/>
  <c r="E129" i="132" s="1"/>
  <c r="J111" i="132" s="1"/>
  <c r="J112" i="129"/>
  <c r="I111" i="129"/>
  <c r="J101" i="129"/>
  <c r="K101" i="129" s="1"/>
  <c r="E115" i="126"/>
  <c r="D144" i="126"/>
  <c r="E100" i="126"/>
  <c r="E146" i="126" s="1"/>
  <c r="F96" i="126"/>
  <c r="F142" i="126" s="1"/>
  <c r="E94" i="126"/>
  <c r="E140" i="126" s="1"/>
  <c r="E113" i="126"/>
  <c r="E93" i="126"/>
  <c r="E139" i="126" s="1"/>
  <c r="E98" i="126"/>
  <c r="E144" i="126" s="1"/>
  <c r="E95" i="126"/>
  <c r="E141" i="126" s="1"/>
  <c r="E109" i="126"/>
  <c r="E97" i="126"/>
  <c r="E143" i="126" s="1"/>
  <c r="E110" i="126"/>
  <c r="E112" i="126"/>
  <c r="E108" i="126"/>
  <c r="E111" i="126"/>
  <c r="F99" i="126"/>
  <c r="F145" i="126" s="1"/>
  <c r="E114" i="126"/>
  <c r="D141" i="126"/>
  <c r="E99" i="126"/>
  <c r="E145" i="126" s="1"/>
  <c r="E96" i="126"/>
  <c r="E142" i="126" s="1"/>
  <c r="D147" i="126"/>
  <c r="F101" i="126"/>
  <c r="F147" i="126" s="1"/>
  <c r="D139" i="126"/>
  <c r="F93" i="126"/>
  <c r="D146" i="126"/>
  <c r="F100" i="126"/>
  <c r="F146" i="126" s="1"/>
  <c r="D143" i="126"/>
  <c r="F97" i="126"/>
  <c r="F143" i="126" s="1"/>
  <c r="E102" i="126"/>
  <c r="E148" i="126" s="1"/>
  <c r="D148" i="126"/>
  <c r="F102" i="126"/>
  <c r="F148" i="126" s="1"/>
  <c r="D140" i="126"/>
  <c r="F94" i="126"/>
  <c r="F140" i="126" s="1"/>
  <c r="K92" i="133" l="1"/>
  <c r="K98" i="133"/>
  <c r="K94" i="133"/>
  <c r="K97" i="133"/>
  <c r="K93" i="133"/>
  <c r="K96" i="133"/>
  <c r="K99" i="133"/>
  <c r="K100" i="133"/>
  <c r="K95" i="133"/>
  <c r="K100" i="137"/>
  <c r="K99" i="137"/>
  <c r="K98" i="137"/>
  <c r="K100" i="134"/>
  <c r="K94" i="134"/>
  <c r="K97" i="129"/>
  <c r="K100" i="129"/>
  <c r="K100" i="138"/>
  <c r="K95" i="138"/>
  <c r="K99" i="138"/>
  <c r="K93" i="138"/>
  <c r="K92" i="138"/>
  <c r="K94" i="138"/>
  <c r="K98" i="138"/>
  <c r="K97" i="138"/>
  <c r="F117" i="138"/>
  <c r="K111" i="138"/>
  <c r="I110" i="138"/>
  <c r="J110" i="138" s="1"/>
  <c r="K110" i="138" s="1"/>
  <c r="I112" i="138"/>
  <c r="J113" i="138" s="1"/>
  <c r="K96" i="138"/>
  <c r="F117" i="137"/>
  <c r="K111" i="137"/>
  <c r="I110" i="137"/>
  <c r="J110" i="137" s="1"/>
  <c r="K110" i="137" s="1"/>
  <c r="K92" i="137"/>
  <c r="I112" i="137"/>
  <c r="J113" i="137" s="1"/>
  <c r="K97" i="137"/>
  <c r="K95" i="137"/>
  <c r="K96" i="137"/>
  <c r="K94" i="137"/>
  <c r="K93" i="137"/>
  <c r="K95" i="136"/>
  <c r="K92" i="136"/>
  <c r="K94" i="136"/>
  <c r="K93" i="136"/>
  <c r="K100" i="136"/>
  <c r="K99" i="136"/>
  <c r="K111" i="136"/>
  <c r="I110" i="136"/>
  <c r="J110" i="136" s="1"/>
  <c r="K110" i="136" s="1"/>
  <c r="I112" i="136"/>
  <c r="J113" i="136" s="1"/>
  <c r="K98" i="136"/>
  <c r="K97" i="136"/>
  <c r="F117" i="136"/>
  <c r="K96" i="136"/>
  <c r="K100" i="135"/>
  <c r="K93" i="135"/>
  <c r="K97" i="135"/>
  <c r="K99" i="135"/>
  <c r="K111" i="135"/>
  <c r="I110" i="135"/>
  <c r="J110" i="135" s="1"/>
  <c r="K110" i="135" s="1"/>
  <c r="K92" i="135"/>
  <c r="K98" i="135"/>
  <c r="F117" i="135"/>
  <c r="K94" i="135"/>
  <c r="K96" i="135"/>
  <c r="I112" i="135"/>
  <c r="J113" i="135" s="1"/>
  <c r="K95" i="135"/>
  <c r="K93" i="134"/>
  <c r="K111" i="134"/>
  <c r="I110" i="134"/>
  <c r="J110" i="134" s="1"/>
  <c r="K110" i="134" s="1"/>
  <c r="K92" i="134"/>
  <c r="F117" i="134"/>
  <c r="I112" i="134"/>
  <c r="J113" i="134" s="1"/>
  <c r="K96" i="134"/>
  <c r="K95" i="134"/>
  <c r="K99" i="134"/>
  <c r="K97" i="134"/>
  <c r="K98" i="134"/>
  <c r="F117" i="133"/>
  <c r="I112" i="133"/>
  <c r="J113" i="133" s="1"/>
  <c r="K111" i="133"/>
  <c r="I110" i="133"/>
  <c r="J110" i="133" s="1"/>
  <c r="K110" i="133" s="1"/>
  <c r="I110" i="132"/>
  <c r="J110" i="132" s="1"/>
  <c r="K110" i="132" s="1"/>
  <c r="K111" i="132"/>
  <c r="I112" i="132"/>
  <c r="J113" i="132" s="1"/>
  <c r="F111" i="132"/>
  <c r="F113" i="132"/>
  <c r="F114" i="132"/>
  <c r="F117" i="132"/>
  <c r="F108" i="132"/>
  <c r="F110" i="132"/>
  <c r="K111" i="129"/>
  <c r="I110" i="129"/>
  <c r="J110" i="129" s="1"/>
  <c r="K110" i="129" s="1"/>
  <c r="F117" i="129"/>
  <c r="I112" i="129"/>
  <c r="J113" i="129" s="1"/>
  <c r="K96" i="129"/>
  <c r="K92" i="129"/>
  <c r="K95" i="129"/>
  <c r="K99" i="129"/>
  <c r="K93" i="129"/>
  <c r="K98" i="129"/>
  <c r="K94" i="129"/>
  <c r="E125" i="126"/>
  <c r="E124" i="126"/>
  <c r="J112" i="126" s="1"/>
  <c r="E126" i="126"/>
  <c r="J100" i="126"/>
  <c r="J98" i="126"/>
  <c r="J96" i="126"/>
  <c r="J94" i="126"/>
  <c r="J92" i="126"/>
  <c r="F139" i="126"/>
  <c r="J99" i="126"/>
  <c r="J97" i="126"/>
  <c r="J95" i="126"/>
  <c r="J93" i="126"/>
  <c r="F112" i="132" l="1"/>
  <c r="F109" i="132"/>
  <c r="F115" i="134"/>
  <c r="F109" i="134"/>
  <c r="F110" i="134"/>
  <c r="F111" i="134"/>
  <c r="F110" i="129"/>
  <c r="F114" i="129"/>
  <c r="F109" i="129"/>
  <c r="F112" i="129"/>
  <c r="F113" i="138"/>
  <c r="F114" i="138"/>
  <c r="F109" i="138"/>
  <c r="I113" i="138"/>
  <c r="F116" i="138" s="1"/>
  <c r="K112" i="138"/>
  <c r="F110" i="138"/>
  <c r="F108" i="138"/>
  <c r="F112" i="138"/>
  <c r="F115" i="138"/>
  <c r="F111" i="138"/>
  <c r="E127" i="126"/>
  <c r="E129" i="126" s="1"/>
  <c r="J111" i="126" s="1"/>
  <c r="F109" i="137"/>
  <c r="F108" i="137"/>
  <c r="F113" i="137"/>
  <c r="F114" i="137"/>
  <c r="F110" i="137"/>
  <c r="I113" i="137"/>
  <c r="K113" i="137" s="1"/>
  <c r="K112" i="137"/>
  <c r="F112" i="137"/>
  <c r="F115" i="137"/>
  <c r="F111" i="137"/>
  <c r="F108" i="136"/>
  <c r="F111" i="136"/>
  <c r="F115" i="136"/>
  <c r="F112" i="136"/>
  <c r="F113" i="136"/>
  <c r="F110" i="136"/>
  <c r="I113" i="136"/>
  <c r="F116" i="136" s="1"/>
  <c r="K112" i="136"/>
  <c r="F114" i="136"/>
  <c r="F109" i="136"/>
  <c r="F112" i="135"/>
  <c r="F113" i="135"/>
  <c r="F109" i="135"/>
  <c r="I113" i="135"/>
  <c r="F116" i="135" s="1"/>
  <c r="F114" i="135"/>
  <c r="K112" i="135"/>
  <c r="F108" i="135"/>
  <c r="F112" i="134"/>
  <c r="F114" i="134"/>
  <c r="K112" i="134"/>
  <c r="F113" i="134"/>
  <c r="I113" i="134"/>
  <c r="K113" i="134" s="1"/>
  <c r="F108" i="134"/>
  <c r="F112" i="133"/>
  <c r="F114" i="133"/>
  <c r="F109" i="133"/>
  <c r="F110" i="133"/>
  <c r="F108" i="133"/>
  <c r="I113" i="133"/>
  <c r="K113" i="133" s="1"/>
  <c r="K112" i="133"/>
  <c r="F115" i="133"/>
  <c r="F113" i="133"/>
  <c r="I113" i="132"/>
  <c r="F116" i="132" s="1"/>
  <c r="M110" i="132" s="1"/>
  <c r="K112" i="132"/>
  <c r="F115" i="132"/>
  <c r="I111" i="126"/>
  <c r="F117" i="126" s="1"/>
  <c r="K112" i="129"/>
  <c r="F111" i="129"/>
  <c r="I113" i="129"/>
  <c r="K113" i="129" s="1"/>
  <c r="F113" i="129"/>
  <c r="J101" i="126"/>
  <c r="K101" i="126" s="1"/>
  <c r="F111" i="135" l="1"/>
  <c r="F110" i="135"/>
  <c r="F115" i="129"/>
  <c r="F108" i="129"/>
  <c r="F111" i="133"/>
  <c r="I112" i="126"/>
  <c r="J113" i="126" s="1"/>
  <c r="I110" i="126"/>
  <c r="J110" i="126" s="1"/>
  <c r="K110" i="126" s="1"/>
  <c r="K111" i="126"/>
  <c r="F116" i="129"/>
  <c r="M113" i="129" s="1"/>
  <c r="K113" i="138"/>
  <c r="M110" i="138"/>
  <c r="M113" i="138"/>
  <c r="M112" i="138"/>
  <c r="M111" i="138"/>
  <c r="F116" i="137"/>
  <c r="M112" i="137" s="1"/>
  <c r="M113" i="137"/>
  <c r="M113" i="136"/>
  <c r="M111" i="136"/>
  <c r="M110" i="136"/>
  <c r="M112" i="136"/>
  <c r="K113" i="136"/>
  <c r="F115" i="135"/>
  <c r="M111" i="135" s="1"/>
  <c r="M110" i="135"/>
  <c r="M113" i="135"/>
  <c r="K113" i="135"/>
  <c r="F116" i="134"/>
  <c r="M111" i="134" s="1"/>
  <c r="F116" i="133"/>
  <c r="M111" i="133" s="1"/>
  <c r="M111" i="132"/>
  <c r="M112" i="132"/>
  <c r="M113" i="132"/>
  <c r="K113" i="132"/>
  <c r="K100" i="126"/>
  <c r="K98" i="126"/>
  <c r="K93" i="126"/>
  <c r="F108" i="126"/>
  <c r="F111" i="126"/>
  <c r="K112" i="126"/>
  <c r="I113" i="126"/>
  <c r="K113" i="126" s="1"/>
  <c r="F109" i="126"/>
  <c r="F110" i="126"/>
  <c r="K96" i="126"/>
  <c r="K94" i="126"/>
  <c r="K92" i="126"/>
  <c r="F112" i="126"/>
  <c r="F113" i="126"/>
  <c r="K99" i="126"/>
  <c r="K97" i="126"/>
  <c r="K95" i="126"/>
  <c r="M116" i="132" l="1"/>
  <c r="M112" i="135"/>
  <c r="M112" i="129"/>
  <c r="M110" i="129"/>
  <c r="M111" i="129"/>
  <c r="M113" i="133"/>
  <c r="M112" i="133"/>
  <c r="M110" i="133"/>
  <c r="M116" i="133" s="1"/>
  <c r="F115" i="126"/>
  <c r="F114" i="126"/>
  <c r="M112" i="134"/>
  <c r="M113" i="134"/>
  <c r="M110" i="134"/>
  <c r="M116" i="134" s="1"/>
  <c r="M116" i="138"/>
  <c r="M111" i="137"/>
  <c r="M110" i="137"/>
  <c r="M116" i="136"/>
  <c r="M116" i="135"/>
  <c r="F116" i="126"/>
  <c r="M113" i="126" s="1"/>
  <c r="C148" i="125"/>
  <c r="B148" i="125"/>
  <c r="A148" i="125"/>
  <c r="C147" i="125"/>
  <c r="B147" i="125"/>
  <c r="A147" i="125"/>
  <c r="C146" i="125"/>
  <c r="B146" i="125"/>
  <c r="A146" i="125"/>
  <c r="C145" i="125"/>
  <c r="B145" i="125"/>
  <c r="A145" i="125"/>
  <c r="C144" i="125"/>
  <c r="B144" i="125"/>
  <c r="A144" i="125"/>
  <c r="C143" i="125"/>
  <c r="B143" i="125"/>
  <c r="A143" i="125"/>
  <c r="C142" i="125"/>
  <c r="B142" i="125"/>
  <c r="A142" i="125"/>
  <c r="C141" i="125"/>
  <c r="B141" i="125"/>
  <c r="A141" i="125"/>
  <c r="C140" i="125"/>
  <c r="B140" i="125"/>
  <c r="A140" i="125"/>
  <c r="C139" i="125"/>
  <c r="B139" i="125"/>
  <c r="A139" i="125"/>
  <c r="B124" i="125"/>
  <c r="B128" i="125" s="1"/>
  <c r="C128" i="125" s="1"/>
  <c r="C117" i="125"/>
  <c r="B117" i="125"/>
  <c r="A117" i="125"/>
  <c r="C116" i="125"/>
  <c r="B116" i="125"/>
  <c r="A116" i="125"/>
  <c r="L115" i="125"/>
  <c r="M115" i="125" s="1"/>
  <c r="J115" i="125"/>
  <c r="I115" i="125"/>
  <c r="C115" i="125"/>
  <c r="B115" i="125"/>
  <c r="A115" i="125"/>
  <c r="T114" i="125"/>
  <c r="S114" i="125"/>
  <c r="Q114" i="125"/>
  <c r="O114" i="125"/>
  <c r="L114" i="125"/>
  <c r="M114" i="125" s="1"/>
  <c r="J114" i="125"/>
  <c r="I114" i="125"/>
  <c r="C114" i="125"/>
  <c r="B114" i="125"/>
  <c r="A114" i="125"/>
  <c r="S113" i="125"/>
  <c r="T113" i="125" s="1"/>
  <c r="Q113" i="125"/>
  <c r="O113" i="125"/>
  <c r="C113" i="125"/>
  <c r="B113" i="125"/>
  <c r="A113" i="125"/>
  <c r="T112" i="125"/>
  <c r="S112" i="125"/>
  <c r="Q112" i="125"/>
  <c r="O112" i="125"/>
  <c r="C112" i="125"/>
  <c r="B112" i="125"/>
  <c r="A112" i="125"/>
  <c r="S111" i="125"/>
  <c r="T111" i="125" s="1"/>
  <c r="Q111" i="125"/>
  <c r="P111" i="125"/>
  <c r="G113" i="125" s="1"/>
  <c r="O111" i="125"/>
  <c r="C111" i="125"/>
  <c r="B111" i="125"/>
  <c r="A111" i="125"/>
  <c r="S110" i="125"/>
  <c r="T110" i="125" s="1"/>
  <c r="Q110" i="125"/>
  <c r="O110" i="125"/>
  <c r="C110" i="125"/>
  <c r="B110" i="125"/>
  <c r="A110" i="125"/>
  <c r="T109" i="125"/>
  <c r="S109" i="125"/>
  <c r="Q109" i="125"/>
  <c r="O109" i="125"/>
  <c r="L109" i="125"/>
  <c r="M109" i="125" s="1"/>
  <c r="J109" i="125"/>
  <c r="I109" i="125"/>
  <c r="C109" i="125"/>
  <c r="B109" i="125"/>
  <c r="A109" i="125"/>
  <c r="S108" i="125"/>
  <c r="T108" i="125" s="1"/>
  <c r="Q108" i="125"/>
  <c r="O108" i="125"/>
  <c r="L108" i="125"/>
  <c r="M108" i="125" s="1"/>
  <c r="J108" i="125"/>
  <c r="I108" i="125"/>
  <c r="C108" i="125"/>
  <c r="B108" i="125"/>
  <c r="A108" i="125"/>
  <c r="D107" i="125"/>
  <c r="C102" i="125"/>
  <c r="B102" i="125"/>
  <c r="A102" i="125"/>
  <c r="C101" i="125"/>
  <c r="B101" i="125"/>
  <c r="A101" i="125"/>
  <c r="C100" i="125"/>
  <c r="B100" i="125"/>
  <c r="A100" i="125"/>
  <c r="C99" i="125"/>
  <c r="B99" i="125"/>
  <c r="A99" i="125"/>
  <c r="C98" i="125"/>
  <c r="B98" i="125"/>
  <c r="A98" i="125"/>
  <c r="C97" i="125"/>
  <c r="B97" i="125"/>
  <c r="A97" i="125"/>
  <c r="C96" i="125"/>
  <c r="B96" i="125"/>
  <c r="A96" i="125"/>
  <c r="C95" i="125"/>
  <c r="B95" i="125"/>
  <c r="A95" i="125"/>
  <c r="C94" i="125"/>
  <c r="B94" i="125"/>
  <c r="A94" i="125"/>
  <c r="C93" i="125"/>
  <c r="B93" i="125"/>
  <c r="A93" i="125"/>
  <c r="D92" i="125"/>
  <c r="D138" i="125" s="1"/>
  <c r="S86" i="125"/>
  <c r="P86" i="125"/>
  <c r="M86" i="125"/>
  <c r="J86" i="125"/>
  <c r="G86" i="125"/>
  <c r="D86" i="125"/>
  <c r="S85" i="125"/>
  <c r="P85" i="125"/>
  <c r="M85" i="125"/>
  <c r="J85" i="125"/>
  <c r="G85" i="125"/>
  <c r="D85" i="125"/>
  <c r="U84" i="125"/>
  <c r="T84" i="125"/>
  <c r="R84" i="125"/>
  <c r="Q84" i="125"/>
  <c r="O84" i="125"/>
  <c r="N84" i="125"/>
  <c r="L84" i="125"/>
  <c r="K84" i="125"/>
  <c r="I84" i="125"/>
  <c r="H84" i="125"/>
  <c r="F84" i="125"/>
  <c r="E84" i="125"/>
  <c r="C84" i="125"/>
  <c r="B84" i="125"/>
  <c r="A84" i="125"/>
  <c r="U83" i="125"/>
  <c r="T83" i="125"/>
  <c r="R83" i="125"/>
  <c r="Q83" i="125"/>
  <c r="O83" i="125"/>
  <c r="N83" i="125"/>
  <c r="L83" i="125"/>
  <c r="K83" i="125"/>
  <c r="I83" i="125"/>
  <c r="H83" i="125"/>
  <c r="F83" i="125"/>
  <c r="E83" i="125"/>
  <c r="C83" i="125"/>
  <c r="B83" i="125"/>
  <c r="A83" i="125"/>
  <c r="U82" i="125"/>
  <c r="T82" i="125"/>
  <c r="R82" i="125"/>
  <c r="Q82" i="125"/>
  <c r="O82" i="125"/>
  <c r="N82" i="125"/>
  <c r="L82" i="125"/>
  <c r="K82" i="125"/>
  <c r="I82" i="125"/>
  <c r="H82" i="125"/>
  <c r="F82" i="125"/>
  <c r="E82" i="125"/>
  <c r="C82" i="125"/>
  <c r="B82" i="125"/>
  <c r="A82" i="125"/>
  <c r="U81" i="125"/>
  <c r="T81" i="125"/>
  <c r="R81" i="125"/>
  <c r="Q81" i="125"/>
  <c r="O81" i="125"/>
  <c r="N81" i="125"/>
  <c r="L81" i="125"/>
  <c r="K81" i="125"/>
  <c r="I81" i="125"/>
  <c r="H81" i="125"/>
  <c r="F81" i="125"/>
  <c r="E81" i="125"/>
  <c r="C81" i="125"/>
  <c r="B81" i="125"/>
  <c r="A81" i="125"/>
  <c r="U80" i="125"/>
  <c r="T80" i="125"/>
  <c r="R80" i="125"/>
  <c r="Q80" i="125"/>
  <c r="O80" i="125"/>
  <c r="N80" i="125"/>
  <c r="L80" i="125"/>
  <c r="K80" i="125"/>
  <c r="I80" i="125"/>
  <c r="H80" i="125"/>
  <c r="F80" i="125"/>
  <c r="E80" i="125"/>
  <c r="C80" i="125"/>
  <c r="B80" i="125"/>
  <c r="A80" i="125"/>
  <c r="U79" i="125"/>
  <c r="T79" i="125"/>
  <c r="R79" i="125"/>
  <c r="Q79" i="125"/>
  <c r="O79" i="125"/>
  <c r="N79" i="125"/>
  <c r="L79" i="125"/>
  <c r="K79" i="125"/>
  <c r="I79" i="125"/>
  <c r="H79" i="125"/>
  <c r="F79" i="125"/>
  <c r="E79" i="125"/>
  <c r="C79" i="125"/>
  <c r="B79" i="125"/>
  <c r="A79" i="125"/>
  <c r="U78" i="125"/>
  <c r="T78" i="125"/>
  <c r="R78" i="125"/>
  <c r="Q78" i="125"/>
  <c r="O78" i="125"/>
  <c r="N78" i="125"/>
  <c r="L78" i="125"/>
  <c r="K78" i="125"/>
  <c r="I78" i="125"/>
  <c r="H78" i="125"/>
  <c r="F78" i="125"/>
  <c r="E78" i="125"/>
  <c r="C78" i="125"/>
  <c r="B78" i="125"/>
  <c r="A78" i="125"/>
  <c r="U77" i="125"/>
  <c r="T77" i="125"/>
  <c r="R77" i="125"/>
  <c r="Q77" i="125"/>
  <c r="O77" i="125"/>
  <c r="N77" i="125"/>
  <c r="L77" i="125"/>
  <c r="K77" i="125"/>
  <c r="I77" i="125"/>
  <c r="H77" i="125"/>
  <c r="F77" i="125"/>
  <c r="E77" i="125"/>
  <c r="C77" i="125"/>
  <c r="B77" i="125"/>
  <c r="A77" i="125"/>
  <c r="U76" i="125"/>
  <c r="T76" i="125"/>
  <c r="R76" i="125"/>
  <c r="Q76" i="125"/>
  <c r="O76" i="125"/>
  <c r="N76" i="125"/>
  <c r="L76" i="125"/>
  <c r="K76" i="125"/>
  <c r="I76" i="125"/>
  <c r="H76" i="125"/>
  <c r="F76" i="125"/>
  <c r="E76" i="125"/>
  <c r="C76" i="125"/>
  <c r="B76" i="125"/>
  <c r="A76" i="125"/>
  <c r="U75" i="125"/>
  <c r="T75" i="125"/>
  <c r="R75" i="125"/>
  <c r="Q75" i="125"/>
  <c r="O75" i="125"/>
  <c r="N75" i="125"/>
  <c r="L75" i="125"/>
  <c r="K75" i="125"/>
  <c r="I75" i="125"/>
  <c r="H75" i="125"/>
  <c r="F75" i="125"/>
  <c r="E75" i="125"/>
  <c r="C75" i="125"/>
  <c r="B75" i="125"/>
  <c r="A75" i="125"/>
  <c r="U74" i="125"/>
  <c r="R74" i="125"/>
  <c r="O74" i="125"/>
  <c r="L74" i="125"/>
  <c r="I74" i="125"/>
  <c r="F74" i="125"/>
  <c r="S69" i="125"/>
  <c r="P69" i="125"/>
  <c r="M69" i="125"/>
  <c r="J69" i="125"/>
  <c r="G69" i="125"/>
  <c r="D69" i="125"/>
  <c r="S68" i="125"/>
  <c r="P68" i="125"/>
  <c r="M68" i="125"/>
  <c r="J68" i="125"/>
  <c r="G68" i="125"/>
  <c r="D68" i="125"/>
  <c r="U67" i="125"/>
  <c r="T67" i="125"/>
  <c r="R67" i="125"/>
  <c r="Q67" i="125"/>
  <c r="O67" i="125"/>
  <c r="N67" i="125"/>
  <c r="L67" i="125"/>
  <c r="K67" i="125"/>
  <c r="I67" i="125"/>
  <c r="H67" i="125"/>
  <c r="F67" i="125"/>
  <c r="E67" i="125"/>
  <c r="C67" i="125"/>
  <c r="B67" i="125"/>
  <c r="U66" i="125"/>
  <c r="T66" i="125"/>
  <c r="R66" i="125"/>
  <c r="Q66" i="125"/>
  <c r="O66" i="125"/>
  <c r="N66" i="125"/>
  <c r="L66" i="125"/>
  <c r="K66" i="125"/>
  <c r="I66" i="125"/>
  <c r="H66" i="125"/>
  <c r="F66" i="125"/>
  <c r="E66" i="125"/>
  <c r="C66" i="125"/>
  <c r="B66" i="125"/>
  <c r="U65" i="125"/>
  <c r="T65" i="125"/>
  <c r="R65" i="125"/>
  <c r="Q65" i="125"/>
  <c r="O65" i="125"/>
  <c r="N65" i="125"/>
  <c r="L65" i="125"/>
  <c r="K65" i="125"/>
  <c r="I65" i="125"/>
  <c r="H65" i="125"/>
  <c r="F65" i="125"/>
  <c r="E65" i="125"/>
  <c r="C65" i="125"/>
  <c r="B65" i="125"/>
  <c r="U64" i="125"/>
  <c r="T64" i="125"/>
  <c r="R64" i="125"/>
  <c r="Q64" i="125"/>
  <c r="O64" i="125"/>
  <c r="N64" i="125"/>
  <c r="L64" i="125"/>
  <c r="K64" i="125"/>
  <c r="I64" i="125"/>
  <c r="H64" i="125"/>
  <c r="F64" i="125"/>
  <c r="E64" i="125"/>
  <c r="C64" i="125"/>
  <c r="B64" i="125"/>
  <c r="U63" i="125"/>
  <c r="T63" i="125"/>
  <c r="R63" i="125"/>
  <c r="Q63" i="125"/>
  <c r="O63" i="125"/>
  <c r="N63" i="125"/>
  <c r="L63" i="125"/>
  <c r="K63" i="125"/>
  <c r="I63" i="125"/>
  <c r="H63" i="125"/>
  <c r="F63" i="125"/>
  <c r="E63" i="125"/>
  <c r="C63" i="125"/>
  <c r="B63" i="125"/>
  <c r="U62" i="125"/>
  <c r="T62" i="125"/>
  <c r="R62" i="125"/>
  <c r="Q62" i="125"/>
  <c r="O62" i="125"/>
  <c r="N62" i="125"/>
  <c r="L62" i="125"/>
  <c r="K62" i="125"/>
  <c r="I62" i="125"/>
  <c r="H62" i="125"/>
  <c r="F62" i="125"/>
  <c r="E62" i="125"/>
  <c r="C62" i="125"/>
  <c r="B62" i="125"/>
  <c r="U61" i="125"/>
  <c r="T61" i="125"/>
  <c r="R61" i="125"/>
  <c r="Q61" i="125"/>
  <c r="O61" i="125"/>
  <c r="N61" i="125"/>
  <c r="L61" i="125"/>
  <c r="K61" i="125"/>
  <c r="I61" i="125"/>
  <c r="H61" i="125"/>
  <c r="F61" i="125"/>
  <c r="E61" i="125"/>
  <c r="C61" i="125"/>
  <c r="B61" i="125"/>
  <c r="U60" i="125"/>
  <c r="T60" i="125"/>
  <c r="R60" i="125"/>
  <c r="Q60" i="125"/>
  <c r="O60" i="125"/>
  <c r="N60" i="125"/>
  <c r="L60" i="125"/>
  <c r="K60" i="125"/>
  <c r="I60" i="125"/>
  <c r="H60" i="125"/>
  <c r="F60" i="125"/>
  <c r="E60" i="125"/>
  <c r="C60" i="125"/>
  <c r="B60" i="125"/>
  <c r="U59" i="125"/>
  <c r="T59" i="125"/>
  <c r="R59" i="125"/>
  <c r="Q59" i="125"/>
  <c r="O59" i="125"/>
  <c r="N59" i="125"/>
  <c r="L59" i="125"/>
  <c r="K59" i="125"/>
  <c r="I59" i="125"/>
  <c r="H59" i="125"/>
  <c r="F59" i="125"/>
  <c r="E59" i="125"/>
  <c r="C59" i="125"/>
  <c r="B59" i="125"/>
  <c r="U58" i="125"/>
  <c r="T58" i="125"/>
  <c r="R58" i="125"/>
  <c r="Q58" i="125"/>
  <c r="O58" i="125"/>
  <c r="N58" i="125"/>
  <c r="L58" i="125"/>
  <c r="K58" i="125"/>
  <c r="I58" i="125"/>
  <c r="H58" i="125"/>
  <c r="F58" i="125"/>
  <c r="E58" i="125"/>
  <c r="C58" i="125"/>
  <c r="B58" i="125"/>
  <c r="U57" i="125"/>
  <c r="R57" i="125"/>
  <c r="O57" i="125"/>
  <c r="L57" i="125"/>
  <c r="I57" i="125"/>
  <c r="F57" i="125"/>
  <c r="S52" i="125"/>
  <c r="P52" i="125"/>
  <c r="M52" i="125"/>
  <c r="J52" i="125"/>
  <c r="G52" i="125"/>
  <c r="D52" i="125"/>
  <c r="S51" i="125"/>
  <c r="P51" i="125"/>
  <c r="M51" i="125"/>
  <c r="J51" i="125"/>
  <c r="G51" i="125"/>
  <c r="D51" i="125"/>
  <c r="U50" i="125"/>
  <c r="T50" i="125"/>
  <c r="R50" i="125"/>
  <c r="Q50" i="125"/>
  <c r="O50" i="125"/>
  <c r="N50" i="125"/>
  <c r="L50" i="125"/>
  <c r="K50" i="125"/>
  <c r="I50" i="125"/>
  <c r="H50" i="125"/>
  <c r="F50" i="125"/>
  <c r="E50" i="125"/>
  <c r="C50" i="125"/>
  <c r="B50" i="125"/>
  <c r="U49" i="125"/>
  <c r="T49" i="125"/>
  <c r="R49" i="125"/>
  <c r="Q49" i="125"/>
  <c r="O49" i="125"/>
  <c r="N49" i="125"/>
  <c r="L49" i="125"/>
  <c r="K49" i="125"/>
  <c r="I49" i="125"/>
  <c r="H49" i="125"/>
  <c r="F49" i="125"/>
  <c r="E49" i="125"/>
  <c r="C49" i="125"/>
  <c r="B49" i="125"/>
  <c r="U48" i="125"/>
  <c r="T48" i="125"/>
  <c r="R48" i="125"/>
  <c r="Q48" i="125"/>
  <c r="O48" i="125"/>
  <c r="N48" i="125"/>
  <c r="L48" i="125"/>
  <c r="K48" i="125"/>
  <c r="I48" i="125"/>
  <c r="H48" i="125"/>
  <c r="F48" i="125"/>
  <c r="E48" i="125"/>
  <c r="C48" i="125"/>
  <c r="B48" i="125"/>
  <c r="U47" i="125"/>
  <c r="T47" i="125"/>
  <c r="R47" i="125"/>
  <c r="Q47" i="125"/>
  <c r="O47" i="125"/>
  <c r="N47" i="125"/>
  <c r="L47" i="125"/>
  <c r="K47" i="125"/>
  <c r="I47" i="125"/>
  <c r="H47" i="125"/>
  <c r="F47" i="125"/>
  <c r="E47" i="125"/>
  <c r="C47" i="125"/>
  <c r="B47" i="125"/>
  <c r="U46" i="125"/>
  <c r="T46" i="125"/>
  <c r="R46" i="125"/>
  <c r="Q46" i="125"/>
  <c r="O46" i="125"/>
  <c r="N46" i="125"/>
  <c r="L46" i="125"/>
  <c r="K46" i="125"/>
  <c r="I46" i="125"/>
  <c r="H46" i="125"/>
  <c r="F46" i="125"/>
  <c r="E46" i="125"/>
  <c r="C46" i="125"/>
  <c r="B46" i="125"/>
  <c r="U45" i="125"/>
  <c r="T45" i="125"/>
  <c r="R45" i="125"/>
  <c r="Q45" i="125"/>
  <c r="O45" i="125"/>
  <c r="N45" i="125"/>
  <c r="L45" i="125"/>
  <c r="K45" i="125"/>
  <c r="I45" i="125"/>
  <c r="H45" i="125"/>
  <c r="F45" i="125"/>
  <c r="E45" i="125"/>
  <c r="C45" i="125"/>
  <c r="B45" i="125"/>
  <c r="U44" i="125"/>
  <c r="T44" i="125"/>
  <c r="R44" i="125"/>
  <c r="Q44" i="125"/>
  <c r="O44" i="125"/>
  <c r="N44" i="125"/>
  <c r="L44" i="125"/>
  <c r="K44" i="125"/>
  <c r="I44" i="125"/>
  <c r="H44" i="125"/>
  <c r="F44" i="125"/>
  <c r="E44" i="125"/>
  <c r="C44" i="125"/>
  <c r="B44" i="125"/>
  <c r="U43" i="125"/>
  <c r="T43" i="125"/>
  <c r="R43" i="125"/>
  <c r="Q43" i="125"/>
  <c r="O43" i="125"/>
  <c r="N43" i="125"/>
  <c r="L43" i="125"/>
  <c r="K43" i="125"/>
  <c r="I43" i="125"/>
  <c r="H43" i="125"/>
  <c r="F43" i="125"/>
  <c r="E43" i="125"/>
  <c r="C43" i="125"/>
  <c r="B43" i="125"/>
  <c r="U42" i="125"/>
  <c r="T42" i="125"/>
  <c r="R42" i="125"/>
  <c r="Q42" i="125"/>
  <c r="O42" i="125"/>
  <c r="N42" i="125"/>
  <c r="L42" i="125"/>
  <c r="K42" i="125"/>
  <c r="I42" i="125"/>
  <c r="H42" i="125"/>
  <c r="F42" i="125"/>
  <c r="E42" i="125"/>
  <c r="C42" i="125"/>
  <c r="B42" i="125"/>
  <c r="U41" i="125"/>
  <c r="T41" i="125"/>
  <c r="R41" i="125"/>
  <c r="Q41" i="125"/>
  <c r="O41" i="125"/>
  <c r="N41" i="125"/>
  <c r="L41" i="125"/>
  <c r="K41" i="125"/>
  <c r="I41" i="125"/>
  <c r="H41" i="125"/>
  <c r="F41" i="125"/>
  <c r="E41" i="125"/>
  <c r="C41" i="125"/>
  <c r="B41" i="125"/>
  <c r="U40" i="125"/>
  <c r="R40" i="125"/>
  <c r="O40" i="125"/>
  <c r="L40" i="125"/>
  <c r="I40" i="125"/>
  <c r="F40" i="125"/>
  <c r="S35" i="125"/>
  <c r="P35" i="125"/>
  <c r="M35" i="125"/>
  <c r="J35" i="125"/>
  <c r="G35" i="125"/>
  <c r="D35" i="125"/>
  <c r="S34" i="125"/>
  <c r="P34" i="125"/>
  <c r="M34" i="125"/>
  <c r="J34" i="125"/>
  <c r="G34" i="125"/>
  <c r="D34" i="125"/>
  <c r="U33" i="125"/>
  <c r="T33" i="125"/>
  <c r="R33" i="125"/>
  <c r="Q33" i="125"/>
  <c r="O33" i="125"/>
  <c r="N33" i="125"/>
  <c r="L33" i="125"/>
  <c r="K33" i="125"/>
  <c r="I33" i="125"/>
  <c r="H33" i="125"/>
  <c r="F33" i="125"/>
  <c r="E33" i="125"/>
  <c r="C33" i="125"/>
  <c r="B33" i="125"/>
  <c r="U32" i="125"/>
  <c r="T32" i="125"/>
  <c r="R32" i="125"/>
  <c r="Q32" i="125"/>
  <c r="O32" i="125"/>
  <c r="N32" i="125"/>
  <c r="L32" i="125"/>
  <c r="K32" i="125"/>
  <c r="I32" i="125"/>
  <c r="H32" i="125"/>
  <c r="F32" i="125"/>
  <c r="E32" i="125"/>
  <c r="C32" i="125"/>
  <c r="B32" i="125"/>
  <c r="U31" i="125"/>
  <c r="T31" i="125"/>
  <c r="R31" i="125"/>
  <c r="Q31" i="125"/>
  <c r="O31" i="125"/>
  <c r="N31" i="125"/>
  <c r="C31" i="125"/>
  <c r="B31" i="125"/>
  <c r="U30" i="125"/>
  <c r="T30" i="125"/>
  <c r="R30" i="125"/>
  <c r="Q30" i="125"/>
  <c r="O30" i="125"/>
  <c r="N30" i="125"/>
  <c r="C30" i="125"/>
  <c r="B30" i="125"/>
  <c r="U29" i="125"/>
  <c r="T29" i="125"/>
  <c r="R29" i="125"/>
  <c r="Q29" i="125"/>
  <c r="O29" i="125"/>
  <c r="N29" i="125"/>
  <c r="C29" i="125"/>
  <c r="B29" i="125"/>
  <c r="U28" i="125"/>
  <c r="T28" i="125"/>
  <c r="R28" i="125"/>
  <c r="Q28" i="125"/>
  <c r="O28" i="125"/>
  <c r="N28" i="125"/>
  <c r="C28" i="125"/>
  <c r="B28" i="125"/>
  <c r="U27" i="125"/>
  <c r="T27" i="125"/>
  <c r="R27" i="125"/>
  <c r="Q27" i="125"/>
  <c r="O27" i="125"/>
  <c r="N27" i="125"/>
  <c r="C27" i="125"/>
  <c r="B27" i="125"/>
  <c r="U26" i="125"/>
  <c r="T26" i="125"/>
  <c r="R26" i="125"/>
  <c r="Q26" i="125"/>
  <c r="O26" i="125"/>
  <c r="N26" i="125"/>
  <c r="C26" i="125"/>
  <c r="B26" i="125"/>
  <c r="U25" i="125"/>
  <c r="T25" i="125"/>
  <c r="R25" i="125"/>
  <c r="Q25" i="125"/>
  <c r="O25" i="125"/>
  <c r="N25" i="125"/>
  <c r="C25" i="125"/>
  <c r="B25" i="125"/>
  <c r="U24" i="125"/>
  <c r="T24" i="125"/>
  <c r="R24" i="125"/>
  <c r="Q24" i="125"/>
  <c r="O24" i="125"/>
  <c r="N24" i="125"/>
  <c r="C24" i="125"/>
  <c r="B24" i="125"/>
  <c r="U23" i="125"/>
  <c r="R23" i="125"/>
  <c r="O23" i="125"/>
  <c r="L23" i="125"/>
  <c r="I23" i="125"/>
  <c r="F23" i="125"/>
  <c r="S19" i="125"/>
  <c r="P19" i="125"/>
  <c r="R15" i="125" s="1"/>
  <c r="M19" i="125"/>
  <c r="J19" i="125"/>
  <c r="G19" i="125"/>
  <c r="D19" i="125"/>
  <c r="S18" i="125"/>
  <c r="U9" i="125" s="1"/>
  <c r="P18" i="125"/>
  <c r="M18" i="125"/>
  <c r="J18" i="125"/>
  <c r="G18" i="125"/>
  <c r="D18" i="125"/>
  <c r="U17" i="125"/>
  <c r="T17" i="125"/>
  <c r="R17" i="125"/>
  <c r="Q17" i="125"/>
  <c r="O17" i="125"/>
  <c r="N17" i="125"/>
  <c r="L17" i="125"/>
  <c r="K17" i="125"/>
  <c r="I17" i="125"/>
  <c r="H17" i="125"/>
  <c r="F17" i="125"/>
  <c r="E17" i="125"/>
  <c r="U16" i="125"/>
  <c r="T16" i="125"/>
  <c r="R16" i="125"/>
  <c r="Q16" i="125"/>
  <c r="O16" i="125"/>
  <c r="N16" i="125"/>
  <c r="L16" i="125"/>
  <c r="K16" i="125"/>
  <c r="I16" i="125"/>
  <c r="H16" i="125"/>
  <c r="F16" i="125"/>
  <c r="E16" i="125"/>
  <c r="T15" i="125"/>
  <c r="Q15" i="125"/>
  <c r="N15" i="125"/>
  <c r="K15" i="125"/>
  <c r="H15" i="125"/>
  <c r="E15" i="125"/>
  <c r="T14" i="125"/>
  <c r="Q14" i="125"/>
  <c r="N14" i="125"/>
  <c r="K14" i="125"/>
  <c r="H14" i="125"/>
  <c r="E14" i="125"/>
  <c r="T13" i="125"/>
  <c r="Q13" i="125"/>
  <c r="N13" i="125"/>
  <c r="K13" i="125"/>
  <c r="H13" i="125"/>
  <c r="E13" i="125"/>
  <c r="T12" i="125"/>
  <c r="Q12" i="125"/>
  <c r="N12" i="125"/>
  <c r="K12" i="125"/>
  <c r="H12" i="125"/>
  <c r="E12" i="125"/>
  <c r="U11" i="125"/>
  <c r="T11" i="125"/>
  <c r="Q11" i="125"/>
  <c r="N11" i="125"/>
  <c r="K11" i="125"/>
  <c r="H11" i="125"/>
  <c r="E11" i="125"/>
  <c r="T10" i="125"/>
  <c r="Q10" i="125"/>
  <c r="N10" i="125"/>
  <c r="K10" i="125"/>
  <c r="H10" i="125"/>
  <c r="E10" i="125"/>
  <c r="T9" i="125"/>
  <c r="Q9" i="125"/>
  <c r="N9" i="125"/>
  <c r="K9" i="125"/>
  <c r="H9" i="125"/>
  <c r="E9" i="125"/>
  <c r="T8" i="125"/>
  <c r="Q8" i="125"/>
  <c r="N8" i="125"/>
  <c r="K8" i="125"/>
  <c r="H8" i="125"/>
  <c r="E8" i="125"/>
  <c r="U7" i="125"/>
  <c r="R7" i="125"/>
  <c r="O7" i="125"/>
  <c r="L7" i="125"/>
  <c r="L9" i="125" s="1"/>
  <c r="I7" i="125"/>
  <c r="F7" i="125"/>
  <c r="C148" i="124"/>
  <c r="B148" i="124"/>
  <c r="A148" i="124"/>
  <c r="C147" i="124"/>
  <c r="B147" i="124"/>
  <c r="A147" i="124"/>
  <c r="C146" i="124"/>
  <c r="B146" i="124"/>
  <c r="A146" i="124"/>
  <c r="C145" i="124"/>
  <c r="B145" i="124"/>
  <c r="A145" i="124"/>
  <c r="C144" i="124"/>
  <c r="B144" i="124"/>
  <c r="A144" i="124"/>
  <c r="C143" i="124"/>
  <c r="B143" i="124"/>
  <c r="A143" i="124"/>
  <c r="C142" i="124"/>
  <c r="B142" i="124"/>
  <c r="A142" i="124"/>
  <c r="C141" i="124"/>
  <c r="B141" i="124"/>
  <c r="A141" i="124"/>
  <c r="C140" i="124"/>
  <c r="B140" i="124"/>
  <c r="A140" i="124"/>
  <c r="C139" i="124"/>
  <c r="B139" i="124"/>
  <c r="A139" i="124"/>
  <c r="B124" i="124"/>
  <c r="B128" i="124" s="1"/>
  <c r="C128" i="124" s="1"/>
  <c r="C117" i="124"/>
  <c r="B117" i="124"/>
  <c r="A117" i="124"/>
  <c r="C116" i="124"/>
  <c r="B116" i="124"/>
  <c r="A116" i="124"/>
  <c r="L115" i="124"/>
  <c r="M115" i="124" s="1"/>
  <c r="J115" i="124"/>
  <c r="I115" i="124"/>
  <c r="C115" i="124"/>
  <c r="B115" i="124"/>
  <c r="A115" i="124"/>
  <c r="S114" i="124"/>
  <c r="T114" i="124" s="1"/>
  <c r="Q114" i="124"/>
  <c r="O114" i="124"/>
  <c r="L114" i="124"/>
  <c r="M114" i="124" s="1"/>
  <c r="J114" i="124"/>
  <c r="I114" i="124"/>
  <c r="C114" i="124"/>
  <c r="B114" i="124"/>
  <c r="A114" i="124"/>
  <c r="S113" i="124"/>
  <c r="T113" i="124" s="1"/>
  <c r="Q113" i="124"/>
  <c r="O113" i="124"/>
  <c r="C113" i="124"/>
  <c r="B113" i="124"/>
  <c r="A113" i="124"/>
  <c r="S112" i="124"/>
  <c r="T112" i="124" s="1"/>
  <c r="Q112" i="124"/>
  <c r="O112" i="124"/>
  <c r="C112" i="124"/>
  <c r="B112" i="124"/>
  <c r="A112" i="124"/>
  <c r="S111" i="124"/>
  <c r="T111" i="124" s="1"/>
  <c r="Q111" i="124"/>
  <c r="P111" i="124"/>
  <c r="G113" i="124" s="1"/>
  <c r="O111" i="124"/>
  <c r="C111" i="124"/>
  <c r="B111" i="124"/>
  <c r="A111" i="124"/>
  <c r="S110" i="124"/>
  <c r="T110" i="124" s="1"/>
  <c r="Q110" i="124"/>
  <c r="O110" i="124"/>
  <c r="C110" i="124"/>
  <c r="B110" i="124"/>
  <c r="A110" i="124"/>
  <c r="S109" i="124"/>
  <c r="T109" i="124" s="1"/>
  <c r="Q109" i="124"/>
  <c r="O109" i="124"/>
  <c r="L109" i="124"/>
  <c r="M109" i="124" s="1"/>
  <c r="J109" i="124"/>
  <c r="I109" i="124"/>
  <c r="C109" i="124"/>
  <c r="B109" i="124"/>
  <c r="A109" i="124"/>
  <c r="S108" i="124"/>
  <c r="T108" i="124" s="1"/>
  <c r="Q108" i="124"/>
  <c r="O108" i="124"/>
  <c r="L108" i="124"/>
  <c r="M108" i="124" s="1"/>
  <c r="J108" i="124"/>
  <c r="I108" i="124"/>
  <c r="C108" i="124"/>
  <c r="B108" i="124"/>
  <c r="A108" i="124"/>
  <c r="D107" i="124"/>
  <c r="C102" i="124"/>
  <c r="B102" i="124"/>
  <c r="A102" i="124"/>
  <c r="C101" i="124"/>
  <c r="B101" i="124"/>
  <c r="A101" i="124"/>
  <c r="C100" i="124"/>
  <c r="B100" i="124"/>
  <c r="A100" i="124"/>
  <c r="C99" i="124"/>
  <c r="B99" i="124"/>
  <c r="A99" i="124"/>
  <c r="C98" i="124"/>
  <c r="B98" i="124"/>
  <c r="A98" i="124"/>
  <c r="C97" i="124"/>
  <c r="B97" i="124"/>
  <c r="A97" i="124"/>
  <c r="C96" i="124"/>
  <c r="B96" i="124"/>
  <c r="A96" i="124"/>
  <c r="C95" i="124"/>
  <c r="B95" i="124"/>
  <c r="A95" i="124"/>
  <c r="C94" i="124"/>
  <c r="B94" i="124"/>
  <c r="A94" i="124"/>
  <c r="C93" i="124"/>
  <c r="B93" i="124"/>
  <c r="A93" i="124"/>
  <c r="D92" i="124"/>
  <c r="D138" i="124" s="1"/>
  <c r="S86" i="124"/>
  <c r="P86" i="124"/>
  <c r="M86" i="124"/>
  <c r="J86" i="124"/>
  <c r="G86" i="124"/>
  <c r="D86" i="124"/>
  <c r="S85" i="124"/>
  <c r="P85" i="124"/>
  <c r="M85" i="124"/>
  <c r="J85" i="124"/>
  <c r="G85" i="124"/>
  <c r="D85" i="124"/>
  <c r="U84" i="124"/>
  <c r="T84" i="124"/>
  <c r="R84" i="124"/>
  <c r="Q84" i="124"/>
  <c r="O84" i="124"/>
  <c r="N84" i="124"/>
  <c r="L84" i="124"/>
  <c r="K84" i="124"/>
  <c r="I84" i="124"/>
  <c r="H84" i="124"/>
  <c r="F84" i="124"/>
  <c r="E84" i="124"/>
  <c r="C84" i="124"/>
  <c r="B84" i="124"/>
  <c r="A84" i="124"/>
  <c r="U83" i="124"/>
  <c r="T83" i="124"/>
  <c r="R83" i="124"/>
  <c r="Q83" i="124"/>
  <c r="O83" i="124"/>
  <c r="N83" i="124"/>
  <c r="L83" i="124"/>
  <c r="K83" i="124"/>
  <c r="I83" i="124"/>
  <c r="H83" i="124"/>
  <c r="F83" i="124"/>
  <c r="E83" i="124"/>
  <c r="C83" i="124"/>
  <c r="B83" i="124"/>
  <c r="A83" i="124"/>
  <c r="U82" i="124"/>
  <c r="T82" i="124"/>
  <c r="R82" i="124"/>
  <c r="Q82" i="124"/>
  <c r="O82" i="124"/>
  <c r="N82" i="124"/>
  <c r="L82" i="124"/>
  <c r="K82" i="124"/>
  <c r="I82" i="124"/>
  <c r="H82" i="124"/>
  <c r="F82" i="124"/>
  <c r="E82" i="124"/>
  <c r="C82" i="124"/>
  <c r="B82" i="124"/>
  <c r="A82" i="124"/>
  <c r="U81" i="124"/>
  <c r="T81" i="124"/>
  <c r="R81" i="124"/>
  <c r="Q81" i="124"/>
  <c r="O81" i="124"/>
  <c r="N81" i="124"/>
  <c r="L81" i="124"/>
  <c r="K81" i="124"/>
  <c r="I81" i="124"/>
  <c r="H81" i="124"/>
  <c r="F81" i="124"/>
  <c r="E81" i="124"/>
  <c r="C81" i="124"/>
  <c r="B81" i="124"/>
  <c r="A81" i="124"/>
  <c r="U80" i="124"/>
  <c r="T80" i="124"/>
  <c r="R80" i="124"/>
  <c r="Q80" i="124"/>
  <c r="O80" i="124"/>
  <c r="N80" i="124"/>
  <c r="L80" i="124"/>
  <c r="K80" i="124"/>
  <c r="I80" i="124"/>
  <c r="H80" i="124"/>
  <c r="F80" i="124"/>
  <c r="E80" i="124"/>
  <c r="C80" i="124"/>
  <c r="B80" i="124"/>
  <c r="A80" i="124"/>
  <c r="U79" i="124"/>
  <c r="T79" i="124"/>
  <c r="R79" i="124"/>
  <c r="Q79" i="124"/>
  <c r="O79" i="124"/>
  <c r="N79" i="124"/>
  <c r="L79" i="124"/>
  <c r="K79" i="124"/>
  <c r="I79" i="124"/>
  <c r="H79" i="124"/>
  <c r="F79" i="124"/>
  <c r="E79" i="124"/>
  <c r="C79" i="124"/>
  <c r="B79" i="124"/>
  <c r="A79" i="124"/>
  <c r="U78" i="124"/>
  <c r="T78" i="124"/>
  <c r="R78" i="124"/>
  <c r="Q78" i="124"/>
  <c r="O78" i="124"/>
  <c r="N78" i="124"/>
  <c r="L78" i="124"/>
  <c r="K78" i="124"/>
  <c r="I78" i="124"/>
  <c r="H78" i="124"/>
  <c r="F78" i="124"/>
  <c r="E78" i="124"/>
  <c r="C78" i="124"/>
  <c r="B78" i="124"/>
  <c r="A78" i="124"/>
  <c r="U77" i="124"/>
  <c r="T77" i="124"/>
  <c r="R77" i="124"/>
  <c r="Q77" i="124"/>
  <c r="O77" i="124"/>
  <c r="N77" i="124"/>
  <c r="L77" i="124"/>
  <c r="K77" i="124"/>
  <c r="I77" i="124"/>
  <c r="H77" i="124"/>
  <c r="F77" i="124"/>
  <c r="E77" i="124"/>
  <c r="C77" i="124"/>
  <c r="B77" i="124"/>
  <c r="A77" i="124"/>
  <c r="U76" i="124"/>
  <c r="T76" i="124"/>
  <c r="R76" i="124"/>
  <c r="Q76" i="124"/>
  <c r="O76" i="124"/>
  <c r="N76" i="124"/>
  <c r="L76" i="124"/>
  <c r="K76" i="124"/>
  <c r="I76" i="124"/>
  <c r="H76" i="124"/>
  <c r="F76" i="124"/>
  <c r="E76" i="124"/>
  <c r="C76" i="124"/>
  <c r="B76" i="124"/>
  <c r="A76" i="124"/>
  <c r="U75" i="124"/>
  <c r="T75" i="124"/>
  <c r="R75" i="124"/>
  <c r="Q75" i="124"/>
  <c r="O75" i="124"/>
  <c r="N75" i="124"/>
  <c r="L75" i="124"/>
  <c r="K75" i="124"/>
  <c r="I75" i="124"/>
  <c r="H75" i="124"/>
  <c r="F75" i="124"/>
  <c r="E75" i="124"/>
  <c r="C75" i="124"/>
  <c r="B75" i="124"/>
  <c r="A75" i="124"/>
  <c r="U74" i="124"/>
  <c r="R74" i="124"/>
  <c r="O74" i="124"/>
  <c r="L74" i="124"/>
  <c r="I74" i="124"/>
  <c r="F74" i="124"/>
  <c r="S69" i="124"/>
  <c r="P69" i="124"/>
  <c r="M69" i="124"/>
  <c r="J69" i="124"/>
  <c r="G69" i="124"/>
  <c r="D69" i="124"/>
  <c r="S68" i="124"/>
  <c r="P68" i="124"/>
  <c r="M68" i="124"/>
  <c r="J68" i="124"/>
  <c r="G68" i="124"/>
  <c r="D68" i="124"/>
  <c r="U67" i="124"/>
  <c r="T67" i="124"/>
  <c r="R67" i="124"/>
  <c r="Q67" i="124"/>
  <c r="O67" i="124"/>
  <c r="N67" i="124"/>
  <c r="L67" i="124"/>
  <c r="K67" i="124"/>
  <c r="I67" i="124"/>
  <c r="H67" i="124"/>
  <c r="F67" i="124"/>
  <c r="E67" i="124"/>
  <c r="C67" i="124"/>
  <c r="B67" i="124"/>
  <c r="U66" i="124"/>
  <c r="T66" i="124"/>
  <c r="R66" i="124"/>
  <c r="Q66" i="124"/>
  <c r="O66" i="124"/>
  <c r="N66" i="124"/>
  <c r="L66" i="124"/>
  <c r="K66" i="124"/>
  <c r="I66" i="124"/>
  <c r="H66" i="124"/>
  <c r="F66" i="124"/>
  <c r="E66" i="124"/>
  <c r="C66" i="124"/>
  <c r="B66" i="124"/>
  <c r="U65" i="124"/>
  <c r="T65" i="124"/>
  <c r="R65" i="124"/>
  <c r="Q65" i="124"/>
  <c r="O65" i="124"/>
  <c r="N65" i="124"/>
  <c r="L65" i="124"/>
  <c r="K65" i="124"/>
  <c r="I65" i="124"/>
  <c r="H65" i="124"/>
  <c r="F65" i="124"/>
  <c r="E65" i="124"/>
  <c r="C65" i="124"/>
  <c r="B65" i="124"/>
  <c r="U64" i="124"/>
  <c r="T64" i="124"/>
  <c r="R64" i="124"/>
  <c r="Q64" i="124"/>
  <c r="O64" i="124"/>
  <c r="N64" i="124"/>
  <c r="L64" i="124"/>
  <c r="K64" i="124"/>
  <c r="I64" i="124"/>
  <c r="H64" i="124"/>
  <c r="F64" i="124"/>
  <c r="E64" i="124"/>
  <c r="C64" i="124"/>
  <c r="B64" i="124"/>
  <c r="U63" i="124"/>
  <c r="T63" i="124"/>
  <c r="R63" i="124"/>
  <c r="Q63" i="124"/>
  <c r="O63" i="124"/>
  <c r="N63" i="124"/>
  <c r="L63" i="124"/>
  <c r="K63" i="124"/>
  <c r="I63" i="124"/>
  <c r="H63" i="124"/>
  <c r="F63" i="124"/>
  <c r="E63" i="124"/>
  <c r="C63" i="124"/>
  <c r="B63" i="124"/>
  <c r="U62" i="124"/>
  <c r="T62" i="124"/>
  <c r="R62" i="124"/>
  <c r="Q62" i="124"/>
  <c r="O62" i="124"/>
  <c r="N62" i="124"/>
  <c r="L62" i="124"/>
  <c r="K62" i="124"/>
  <c r="I62" i="124"/>
  <c r="H62" i="124"/>
  <c r="F62" i="124"/>
  <c r="E62" i="124"/>
  <c r="C62" i="124"/>
  <c r="B62" i="124"/>
  <c r="U61" i="124"/>
  <c r="T61" i="124"/>
  <c r="R61" i="124"/>
  <c r="Q61" i="124"/>
  <c r="O61" i="124"/>
  <c r="N61" i="124"/>
  <c r="L61" i="124"/>
  <c r="K61" i="124"/>
  <c r="I61" i="124"/>
  <c r="H61" i="124"/>
  <c r="F61" i="124"/>
  <c r="E61" i="124"/>
  <c r="C61" i="124"/>
  <c r="B61" i="124"/>
  <c r="U60" i="124"/>
  <c r="T60" i="124"/>
  <c r="R60" i="124"/>
  <c r="Q60" i="124"/>
  <c r="O60" i="124"/>
  <c r="N60" i="124"/>
  <c r="L60" i="124"/>
  <c r="K60" i="124"/>
  <c r="I60" i="124"/>
  <c r="H60" i="124"/>
  <c r="F60" i="124"/>
  <c r="E60" i="124"/>
  <c r="C60" i="124"/>
  <c r="B60" i="124"/>
  <c r="U59" i="124"/>
  <c r="T59" i="124"/>
  <c r="R59" i="124"/>
  <c r="Q59" i="124"/>
  <c r="O59" i="124"/>
  <c r="N59" i="124"/>
  <c r="L59" i="124"/>
  <c r="K59" i="124"/>
  <c r="I59" i="124"/>
  <c r="H59" i="124"/>
  <c r="F59" i="124"/>
  <c r="E59" i="124"/>
  <c r="C59" i="124"/>
  <c r="B59" i="124"/>
  <c r="U58" i="124"/>
  <c r="T58" i="124"/>
  <c r="R58" i="124"/>
  <c r="Q58" i="124"/>
  <c r="O58" i="124"/>
  <c r="N58" i="124"/>
  <c r="L58" i="124"/>
  <c r="K58" i="124"/>
  <c r="I58" i="124"/>
  <c r="H58" i="124"/>
  <c r="F58" i="124"/>
  <c r="E58" i="124"/>
  <c r="C58" i="124"/>
  <c r="B58" i="124"/>
  <c r="U57" i="124"/>
  <c r="R57" i="124"/>
  <c r="O57" i="124"/>
  <c r="L57" i="124"/>
  <c r="I57" i="124"/>
  <c r="F57" i="124"/>
  <c r="S52" i="124"/>
  <c r="P52" i="124"/>
  <c r="M52" i="124"/>
  <c r="J52" i="124"/>
  <c r="G52" i="124"/>
  <c r="I48" i="124" s="1"/>
  <c r="D52" i="124"/>
  <c r="S51" i="124"/>
  <c r="P51" i="124"/>
  <c r="M51" i="124"/>
  <c r="J51" i="124"/>
  <c r="G51" i="124"/>
  <c r="D51" i="124"/>
  <c r="U50" i="124"/>
  <c r="T50" i="124"/>
  <c r="R50" i="124"/>
  <c r="Q50" i="124"/>
  <c r="O50" i="124"/>
  <c r="N50" i="124"/>
  <c r="L50" i="124"/>
  <c r="K50" i="124"/>
  <c r="I50" i="124"/>
  <c r="H50" i="124"/>
  <c r="F50" i="124"/>
  <c r="E50" i="124"/>
  <c r="C50" i="124"/>
  <c r="B50" i="124"/>
  <c r="U49" i="124"/>
  <c r="T49" i="124"/>
  <c r="R49" i="124"/>
  <c r="Q49" i="124"/>
  <c r="O49" i="124"/>
  <c r="N49" i="124"/>
  <c r="L49" i="124"/>
  <c r="K49" i="124"/>
  <c r="I49" i="124"/>
  <c r="H49" i="124"/>
  <c r="F49" i="124"/>
  <c r="E49" i="124"/>
  <c r="C49" i="124"/>
  <c r="B49" i="124"/>
  <c r="U48" i="124"/>
  <c r="T48" i="124"/>
  <c r="R48" i="124"/>
  <c r="Q48" i="124"/>
  <c r="O48" i="124"/>
  <c r="N48" i="124"/>
  <c r="L48" i="124"/>
  <c r="K48" i="124"/>
  <c r="H48" i="124"/>
  <c r="F48" i="124"/>
  <c r="E48" i="124"/>
  <c r="C48" i="124"/>
  <c r="B48" i="124"/>
  <c r="U47" i="124"/>
  <c r="T47" i="124"/>
  <c r="R47" i="124"/>
  <c r="Q47" i="124"/>
  <c r="O47" i="124"/>
  <c r="N47" i="124"/>
  <c r="L47" i="124"/>
  <c r="K47" i="124"/>
  <c r="H47" i="124"/>
  <c r="F47" i="124"/>
  <c r="E47" i="124"/>
  <c r="C47" i="124"/>
  <c r="B47" i="124"/>
  <c r="U46" i="124"/>
  <c r="T46" i="124"/>
  <c r="R46" i="124"/>
  <c r="Q46" i="124"/>
  <c r="O46" i="124"/>
  <c r="N46" i="124"/>
  <c r="L46" i="124"/>
  <c r="K46" i="124"/>
  <c r="H46" i="124"/>
  <c r="F46" i="124"/>
  <c r="E46" i="124"/>
  <c r="C46" i="124"/>
  <c r="B46" i="124"/>
  <c r="U45" i="124"/>
  <c r="T45" i="124"/>
  <c r="R45" i="124"/>
  <c r="Q45" i="124"/>
  <c r="O45" i="124"/>
  <c r="N45" i="124"/>
  <c r="L45" i="124"/>
  <c r="K45" i="124"/>
  <c r="H45" i="124"/>
  <c r="F45" i="124"/>
  <c r="E45" i="124"/>
  <c r="C45" i="124"/>
  <c r="B45" i="124"/>
  <c r="U44" i="124"/>
  <c r="T44" i="124"/>
  <c r="R44" i="124"/>
  <c r="Q44" i="124"/>
  <c r="O44" i="124"/>
  <c r="N44" i="124"/>
  <c r="L44" i="124"/>
  <c r="K44" i="124"/>
  <c r="H44" i="124"/>
  <c r="F44" i="124"/>
  <c r="E44" i="124"/>
  <c r="C44" i="124"/>
  <c r="B44" i="124"/>
  <c r="U43" i="124"/>
  <c r="T43" i="124"/>
  <c r="R43" i="124"/>
  <c r="Q43" i="124"/>
  <c r="O43" i="124"/>
  <c r="N43" i="124"/>
  <c r="L43" i="124"/>
  <c r="K43" i="124"/>
  <c r="H43" i="124"/>
  <c r="F43" i="124"/>
  <c r="E43" i="124"/>
  <c r="C43" i="124"/>
  <c r="B43" i="124"/>
  <c r="U42" i="124"/>
  <c r="T42" i="124"/>
  <c r="R42" i="124"/>
  <c r="Q42" i="124"/>
  <c r="O42" i="124"/>
  <c r="N42" i="124"/>
  <c r="L42" i="124"/>
  <c r="K42" i="124"/>
  <c r="H42" i="124"/>
  <c r="F42" i="124"/>
  <c r="E42" i="124"/>
  <c r="C42" i="124"/>
  <c r="B42" i="124"/>
  <c r="U41" i="124"/>
  <c r="T41" i="124"/>
  <c r="R41" i="124"/>
  <c r="Q41" i="124"/>
  <c r="O41" i="124"/>
  <c r="N41" i="124"/>
  <c r="L41" i="124"/>
  <c r="K41" i="124"/>
  <c r="H41" i="124"/>
  <c r="F41" i="124"/>
  <c r="E41" i="124"/>
  <c r="C41" i="124"/>
  <c r="B41" i="124"/>
  <c r="U40" i="124"/>
  <c r="R40" i="124"/>
  <c r="O40" i="124"/>
  <c r="L40" i="124"/>
  <c r="I40" i="124"/>
  <c r="F40" i="124"/>
  <c r="S35" i="124"/>
  <c r="P35" i="124"/>
  <c r="M35" i="124"/>
  <c r="J35" i="124"/>
  <c r="L28" i="124" s="1"/>
  <c r="G35" i="124"/>
  <c r="I30" i="124" s="1"/>
  <c r="D35" i="124"/>
  <c r="F30" i="124" s="1"/>
  <c r="S34" i="124"/>
  <c r="P34" i="124"/>
  <c r="M34" i="124"/>
  <c r="J34" i="124"/>
  <c r="G34" i="124"/>
  <c r="D34" i="124"/>
  <c r="U33" i="124"/>
  <c r="T33" i="124"/>
  <c r="R33" i="124"/>
  <c r="Q33" i="124"/>
  <c r="O33" i="124"/>
  <c r="N33" i="124"/>
  <c r="L33" i="124"/>
  <c r="K33" i="124"/>
  <c r="I33" i="124"/>
  <c r="H33" i="124"/>
  <c r="F33" i="124"/>
  <c r="E33" i="124"/>
  <c r="C33" i="124"/>
  <c r="B33" i="124"/>
  <c r="U32" i="124"/>
  <c r="T32" i="124"/>
  <c r="R32" i="124"/>
  <c r="Q32" i="124"/>
  <c r="O32" i="124"/>
  <c r="N32" i="124"/>
  <c r="L32" i="124"/>
  <c r="K32" i="124"/>
  <c r="I32" i="124"/>
  <c r="H32" i="124"/>
  <c r="F32" i="124"/>
  <c r="E32" i="124"/>
  <c r="C32" i="124"/>
  <c r="B32" i="124"/>
  <c r="U31" i="124"/>
  <c r="T31" i="124"/>
  <c r="R31" i="124"/>
  <c r="Q31" i="124"/>
  <c r="O31" i="124"/>
  <c r="N31" i="124"/>
  <c r="C31" i="124"/>
  <c r="B31" i="124"/>
  <c r="U30" i="124"/>
  <c r="T30" i="124"/>
  <c r="R30" i="124"/>
  <c r="Q30" i="124"/>
  <c r="O30" i="124"/>
  <c r="N30" i="124"/>
  <c r="C30" i="124"/>
  <c r="B30" i="124"/>
  <c r="U29" i="124"/>
  <c r="T29" i="124"/>
  <c r="R29" i="124"/>
  <c r="Q29" i="124"/>
  <c r="O29" i="124"/>
  <c r="N29" i="124"/>
  <c r="C29" i="124"/>
  <c r="B29" i="124"/>
  <c r="U28" i="124"/>
  <c r="T28" i="124"/>
  <c r="R28" i="124"/>
  <c r="Q28" i="124"/>
  <c r="O28" i="124"/>
  <c r="N28" i="124"/>
  <c r="C28" i="124"/>
  <c r="B28" i="124"/>
  <c r="U27" i="124"/>
  <c r="T27" i="124"/>
  <c r="R27" i="124"/>
  <c r="Q27" i="124"/>
  <c r="O27" i="124"/>
  <c r="N27" i="124"/>
  <c r="C27" i="124"/>
  <c r="B27" i="124"/>
  <c r="U26" i="124"/>
  <c r="T26" i="124"/>
  <c r="R26" i="124"/>
  <c r="Q26" i="124"/>
  <c r="O26" i="124"/>
  <c r="N26" i="124"/>
  <c r="C26" i="124"/>
  <c r="B26" i="124"/>
  <c r="U25" i="124"/>
  <c r="T25" i="124"/>
  <c r="R25" i="124"/>
  <c r="Q25" i="124"/>
  <c r="O25" i="124"/>
  <c r="N25" i="124"/>
  <c r="C25" i="124"/>
  <c r="B25" i="124"/>
  <c r="U24" i="124"/>
  <c r="T24" i="124"/>
  <c r="R24" i="124"/>
  <c r="Q24" i="124"/>
  <c r="O24" i="124"/>
  <c r="N24" i="124"/>
  <c r="C24" i="124"/>
  <c r="B24" i="124"/>
  <c r="U23" i="124"/>
  <c r="R23" i="124"/>
  <c r="O23" i="124"/>
  <c r="L23" i="124"/>
  <c r="I23" i="124"/>
  <c r="F23" i="124"/>
  <c r="S19" i="124"/>
  <c r="U14" i="124" s="1"/>
  <c r="P19" i="124"/>
  <c r="R15" i="124" s="1"/>
  <c r="M19" i="124"/>
  <c r="J19" i="124"/>
  <c r="G19" i="124"/>
  <c r="D19" i="124"/>
  <c r="S18" i="124"/>
  <c r="P18" i="124"/>
  <c r="M18" i="124"/>
  <c r="J18" i="124"/>
  <c r="G18" i="124"/>
  <c r="D18" i="124"/>
  <c r="U17" i="124"/>
  <c r="T17" i="124"/>
  <c r="R17" i="124"/>
  <c r="Q17" i="124"/>
  <c r="O17" i="124"/>
  <c r="N17" i="124"/>
  <c r="L17" i="124"/>
  <c r="K17" i="124"/>
  <c r="I17" i="124"/>
  <c r="H17" i="124"/>
  <c r="F17" i="124"/>
  <c r="E17" i="124"/>
  <c r="U16" i="124"/>
  <c r="T16" i="124"/>
  <c r="R16" i="124"/>
  <c r="Q16" i="124"/>
  <c r="O16" i="124"/>
  <c r="N16" i="124"/>
  <c r="L16" i="124"/>
  <c r="K16" i="124"/>
  <c r="I16" i="124"/>
  <c r="H16" i="124"/>
  <c r="F16" i="124"/>
  <c r="E16" i="124"/>
  <c r="T15" i="124"/>
  <c r="Q15" i="124"/>
  <c r="N15" i="124"/>
  <c r="K15" i="124"/>
  <c r="H15" i="124"/>
  <c r="E15" i="124"/>
  <c r="T14" i="124"/>
  <c r="Q14" i="124"/>
  <c r="N14" i="124"/>
  <c r="K14" i="124"/>
  <c r="H14" i="124"/>
  <c r="E14" i="124"/>
  <c r="T13" i="124"/>
  <c r="Q13" i="124"/>
  <c r="N13" i="124"/>
  <c r="K13" i="124"/>
  <c r="H13" i="124"/>
  <c r="E13" i="124"/>
  <c r="T12" i="124"/>
  <c r="Q12" i="124"/>
  <c r="N12" i="124"/>
  <c r="K12" i="124"/>
  <c r="H12" i="124"/>
  <c r="E12" i="124"/>
  <c r="T11" i="124"/>
  <c r="Q11" i="124"/>
  <c r="N11" i="124"/>
  <c r="K11" i="124"/>
  <c r="H11" i="124"/>
  <c r="E11" i="124"/>
  <c r="T10" i="124"/>
  <c r="Q10" i="124"/>
  <c r="N10" i="124"/>
  <c r="K10" i="124"/>
  <c r="H10" i="124"/>
  <c r="E10" i="124"/>
  <c r="T9" i="124"/>
  <c r="Q9" i="124"/>
  <c r="N9" i="124"/>
  <c r="L9" i="124"/>
  <c r="K9" i="124"/>
  <c r="H9" i="124"/>
  <c r="E9" i="124"/>
  <c r="T8" i="124"/>
  <c r="Q8" i="124"/>
  <c r="N8" i="124"/>
  <c r="K8" i="124"/>
  <c r="H8" i="124"/>
  <c r="E8" i="124"/>
  <c r="U7" i="124"/>
  <c r="R7" i="124"/>
  <c r="O7" i="124"/>
  <c r="L7" i="124"/>
  <c r="I7" i="124"/>
  <c r="F7" i="124"/>
  <c r="M116" i="129" l="1"/>
  <c r="U12" i="124"/>
  <c r="U10" i="125"/>
  <c r="U8" i="125"/>
  <c r="U14" i="125"/>
  <c r="U15" i="125"/>
  <c r="U13" i="125"/>
  <c r="I11" i="124"/>
  <c r="U8" i="124"/>
  <c r="U13" i="124"/>
  <c r="U11" i="124"/>
  <c r="U10" i="124"/>
  <c r="U15" i="124"/>
  <c r="U9" i="124"/>
  <c r="R13" i="124"/>
  <c r="R8" i="124"/>
  <c r="R10" i="124"/>
  <c r="R14" i="124"/>
  <c r="R11" i="124"/>
  <c r="R12" i="124"/>
  <c r="R9" i="124"/>
  <c r="M111" i="126"/>
  <c r="M110" i="126"/>
  <c r="M116" i="137"/>
  <c r="U12" i="125"/>
  <c r="R8" i="125"/>
  <c r="R9" i="125"/>
  <c r="R10" i="125"/>
  <c r="R11" i="125"/>
  <c r="R12" i="125"/>
  <c r="R13" i="125"/>
  <c r="R14" i="125"/>
  <c r="L14" i="125"/>
  <c r="E107" i="124"/>
  <c r="I26" i="125"/>
  <c r="F25" i="124"/>
  <c r="I15" i="124"/>
  <c r="L30" i="124"/>
  <c r="O15" i="125"/>
  <c r="L14" i="124"/>
  <c r="I29" i="124"/>
  <c r="O13" i="124"/>
  <c r="D116" i="125"/>
  <c r="L15" i="124"/>
  <c r="L31" i="124"/>
  <c r="G109" i="124"/>
  <c r="D117" i="125"/>
  <c r="E117" i="125" s="1"/>
  <c r="F27" i="124"/>
  <c r="C124" i="124"/>
  <c r="L110" i="124" s="1"/>
  <c r="C124" i="125"/>
  <c r="L110" i="125" s="1"/>
  <c r="B127" i="125"/>
  <c r="C127" i="125" s="1"/>
  <c r="L113" i="125" s="1"/>
  <c r="I29" i="125"/>
  <c r="B130" i="125"/>
  <c r="C130" i="125" s="1"/>
  <c r="G110" i="124"/>
  <c r="F29" i="124"/>
  <c r="F31" i="124"/>
  <c r="B130" i="124"/>
  <c r="C130" i="124" s="1"/>
  <c r="L13" i="124"/>
  <c r="B132" i="124"/>
  <c r="C132" i="124" s="1"/>
  <c r="E92" i="125"/>
  <c r="E138" i="125" s="1"/>
  <c r="I15" i="125"/>
  <c r="L25" i="125"/>
  <c r="B132" i="125"/>
  <c r="C132" i="125" s="1"/>
  <c r="O15" i="124"/>
  <c r="I27" i="124"/>
  <c r="O11" i="124"/>
  <c r="I24" i="124"/>
  <c r="I12" i="124"/>
  <c r="L27" i="124"/>
  <c r="I31" i="124"/>
  <c r="L10" i="125"/>
  <c r="I30" i="125"/>
  <c r="E92" i="124"/>
  <c r="E138" i="124" s="1"/>
  <c r="D117" i="124"/>
  <c r="E117" i="124" s="1"/>
  <c r="I25" i="124"/>
  <c r="B127" i="124"/>
  <c r="C127" i="124" s="1"/>
  <c r="L113" i="124" s="1"/>
  <c r="E107" i="125"/>
  <c r="I27" i="125"/>
  <c r="D116" i="124"/>
  <c r="F13" i="124"/>
  <c r="L12" i="124"/>
  <c r="L24" i="124"/>
  <c r="I26" i="124"/>
  <c r="O11" i="125"/>
  <c r="F13" i="125"/>
  <c r="L30" i="125"/>
  <c r="L31" i="125"/>
  <c r="L24" i="125"/>
  <c r="L29" i="125"/>
  <c r="E101" i="125"/>
  <c r="E147" i="125" s="1"/>
  <c r="F31" i="125"/>
  <c r="O13" i="125"/>
  <c r="O8" i="125"/>
  <c r="O14" i="125"/>
  <c r="L13" i="125"/>
  <c r="L15" i="125"/>
  <c r="L11" i="125"/>
  <c r="R114" i="125"/>
  <c r="M112" i="126"/>
  <c r="F8" i="125"/>
  <c r="F10" i="125"/>
  <c r="F12" i="125"/>
  <c r="F14" i="125"/>
  <c r="F9" i="125"/>
  <c r="F11" i="125"/>
  <c r="F15" i="125"/>
  <c r="L26" i="125"/>
  <c r="L27" i="125"/>
  <c r="L28" i="125"/>
  <c r="I31" i="125"/>
  <c r="G110" i="125"/>
  <c r="I24" i="125"/>
  <c r="I28" i="125"/>
  <c r="I25" i="125"/>
  <c r="F28" i="125"/>
  <c r="F24" i="125"/>
  <c r="F26" i="125"/>
  <c r="F30" i="125"/>
  <c r="D95" i="125"/>
  <c r="D141" i="125" s="1"/>
  <c r="D99" i="125"/>
  <c r="D145" i="125" s="1"/>
  <c r="E116" i="125"/>
  <c r="F25" i="125"/>
  <c r="F27" i="125"/>
  <c r="F29" i="125"/>
  <c r="K108" i="125"/>
  <c r="O10" i="125"/>
  <c r="O12" i="125"/>
  <c r="O9" i="125"/>
  <c r="R113" i="125"/>
  <c r="K115" i="125"/>
  <c r="D109" i="125"/>
  <c r="D98" i="125"/>
  <c r="F98" i="125" s="1"/>
  <c r="F144" i="125" s="1"/>
  <c r="D108" i="125"/>
  <c r="L8" i="125"/>
  <c r="D112" i="125"/>
  <c r="L12" i="125"/>
  <c r="R108" i="125"/>
  <c r="D96" i="125"/>
  <c r="F96" i="125" s="1"/>
  <c r="F142" i="125" s="1"/>
  <c r="D113" i="125"/>
  <c r="D115" i="125"/>
  <c r="G108" i="125"/>
  <c r="G109" i="125"/>
  <c r="R109" i="125"/>
  <c r="R110" i="125"/>
  <c r="R111" i="125"/>
  <c r="T115" i="125"/>
  <c r="G114" i="125"/>
  <c r="I8" i="125"/>
  <c r="I9" i="125"/>
  <c r="I10" i="125"/>
  <c r="I11" i="125"/>
  <c r="I12" i="125"/>
  <c r="I13" i="125"/>
  <c r="I14" i="125"/>
  <c r="D110" i="125"/>
  <c r="K109" i="125"/>
  <c r="G111" i="125"/>
  <c r="R112" i="125"/>
  <c r="K114" i="125"/>
  <c r="L25" i="124"/>
  <c r="L29" i="124"/>
  <c r="L26" i="124"/>
  <c r="E116" i="124"/>
  <c r="I28" i="124"/>
  <c r="I42" i="124"/>
  <c r="I44" i="124"/>
  <c r="I46" i="124"/>
  <c r="I41" i="124"/>
  <c r="I43" i="124"/>
  <c r="I45" i="124"/>
  <c r="I47" i="124"/>
  <c r="F24" i="124"/>
  <c r="F26" i="124"/>
  <c r="F28" i="124"/>
  <c r="O9" i="124"/>
  <c r="D112" i="124"/>
  <c r="O12" i="124"/>
  <c r="O14" i="124"/>
  <c r="O10" i="124"/>
  <c r="O8" i="124"/>
  <c r="L11" i="124"/>
  <c r="D109" i="124"/>
  <c r="L8" i="124"/>
  <c r="L10" i="124"/>
  <c r="D96" i="124"/>
  <c r="F96" i="124" s="1"/>
  <c r="F142" i="124" s="1"/>
  <c r="R112" i="124"/>
  <c r="D98" i="124"/>
  <c r="D144" i="124" s="1"/>
  <c r="D115" i="124"/>
  <c r="D108" i="124"/>
  <c r="D113" i="124"/>
  <c r="K108" i="124"/>
  <c r="I10" i="124"/>
  <c r="I9" i="124"/>
  <c r="E101" i="124"/>
  <c r="E147" i="124" s="1"/>
  <c r="G108" i="124"/>
  <c r="R110" i="124"/>
  <c r="R114" i="124"/>
  <c r="D110" i="124"/>
  <c r="I14" i="124"/>
  <c r="K115" i="124"/>
  <c r="I13" i="124"/>
  <c r="I8" i="124"/>
  <c r="D95" i="124"/>
  <c r="F95" i="124" s="1"/>
  <c r="F141" i="124" s="1"/>
  <c r="D99" i="124"/>
  <c r="D145" i="124" s="1"/>
  <c r="K109" i="124"/>
  <c r="G111" i="124"/>
  <c r="G112" i="124"/>
  <c r="R108" i="124"/>
  <c r="F9" i="124"/>
  <c r="F11" i="124"/>
  <c r="F12" i="124"/>
  <c r="F14" i="124"/>
  <c r="F15" i="124"/>
  <c r="R109" i="124"/>
  <c r="R113" i="124"/>
  <c r="K114" i="124"/>
  <c r="F8" i="124"/>
  <c r="F10" i="124"/>
  <c r="R111" i="124"/>
  <c r="G114" i="124"/>
  <c r="D111" i="125"/>
  <c r="D114" i="125"/>
  <c r="G115" i="125"/>
  <c r="B126" i="125"/>
  <c r="C126" i="125" s="1"/>
  <c r="L112" i="125" s="1"/>
  <c r="B129" i="125"/>
  <c r="C129" i="125" s="1"/>
  <c r="D93" i="125"/>
  <c r="D94" i="125"/>
  <c r="D97" i="125"/>
  <c r="D100" i="125"/>
  <c r="D101" i="125"/>
  <c r="D102" i="125"/>
  <c r="G112" i="125"/>
  <c r="G116" i="125"/>
  <c r="G117" i="125"/>
  <c r="B125" i="125"/>
  <c r="C125" i="125" s="1"/>
  <c r="L111" i="125" s="1"/>
  <c r="B131" i="125"/>
  <c r="C131" i="125" s="1"/>
  <c r="T115" i="124"/>
  <c r="D111" i="124"/>
  <c r="D114" i="124"/>
  <c r="G115" i="124"/>
  <c r="B126" i="124"/>
  <c r="C126" i="124" s="1"/>
  <c r="L112" i="124" s="1"/>
  <c r="B129" i="124"/>
  <c r="C129" i="124" s="1"/>
  <c r="D93" i="124"/>
  <c r="D94" i="124"/>
  <c r="D97" i="124"/>
  <c r="D100" i="124"/>
  <c r="D101" i="124"/>
  <c r="D102" i="124"/>
  <c r="G116" i="124"/>
  <c r="G117" i="124"/>
  <c r="B125" i="124"/>
  <c r="C125" i="124" s="1"/>
  <c r="L111" i="124" s="1"/>
  <c r="B131" i="124"/>
  <c r="C131" i="124" s="1"/>
  <c r="M116" i="126" l="1"/>
  <c r="E115" i="125"/>
  <c r="E111" i="124"/>
  <c r="E94" i="124"/>
  <c r="E140" i="124" s="1"/>
  <c r="E98" i="124"/>
  <c r="E144" i="124" s="1"/>
  <c r="E96" i="124"/>
  <c r="E142" i="124" s="1"/>
  <c r="E110" i="124"/>
  <c r="E113" i="124"/>
  <c r="E98" i="125"/>
  <c r="E144" i="125" s="1"/>
  <c r="D141" i="124"/>
  <c r="E115" i="124"/>
  <c r="E97" i="124"/>
  <c r="E143" i="124" s="1"/>
  <c r="E96" i="125"/>
  <c r="E142" i="125" s="1"/>
  <c r="E113" i="125"/>
  <c r="E100" i="125"/>
  <c r="E146" i="125" s="1"/>
  <c r="E95" i="125"/>
  <c r="E141" i="125" s="1"/>
  <c r="E93" i="125"/>
  <c r="E139" i="125" s="1"/>
  <c r="E111" i="125"/>
  <c r="E110" i="125"/>
  <c r="F95" i="125"/>
  <c r="F141" i="125" s="1"/>
  <c r="F99" i="125"/>
  <c r="F145" i="125" s="1"/>
  <c r="E97" i="125"/>
  <c r="E143" i="125" s="1"/>
  <c r="E99" i="125"/>
  <c r="E145" i="125" s="1"/>
  <c r="D144" i="125"/>
  <c r="E109" i="125"/>
  <c r="D142" i="125"/>
  <c r="E112" i="125"/>
  <c r="E108" i="125"/>
  <c r="E114" i="125"/>
  <c r="E94" i="125"/>
  <c r="E140" i="125" s="1"/>
  <c r="D142" i="124"/>
  <c r="F98" i="124"/>
  <c r="F144" i="124" s="1"/>
  <c r="E95" i="124"/>
  <c r="E141" i="124" s="1"/>
  <c r="F99" i="124"/>
  <c r="F145" i="124" s="1"/>
  <c r="E99" i="124"/>
  <c r="E145" i="124" s="1"/>
  <c r="E108" i="124"/>
  <c r="E100" i="124"/>
  <c r="E146" i="124" s="1"/>
  <c r="E112" i="124"/>
  <c r="E93" i="124"/>
  <c r="E139" i="124" s="1"/>
  <c r="E114" i="124"/>
  <c r="E109" i="124"/>
  <c r="E102" i="125"/>
  <c r="E148" i="125" s="1"/>
  <c r="D148" i="125"/>
  <c r="F102" i="125"/>
  <c r="F148" i="125" s="1"/>
  <c r="F94" i="125"/>
  <c r="F140" i="125" s="1"/>
  <c r="D140" i="125"/>
  <c r="D147" i="125"/>
  <c r="F101" i="125"/>
  <c r="F147" i="125" s="1"/>
  <c r="D139" i="125"/>
  <c r="F93" i="125"/>
  <c r="D143" i="125"/>
  <c r="F97" i="125"/>
  <c r="F143" i="125" s="1"/>
  <c r="F100" i="125"/>
  <c r="F146" i="125" s="1"/>
  <c r="D146" i="125"/>
  <c r="D147" i="124"/>
  <c r="F101" i="124"/>
  <c r="F147" i="124" s="1"/>
  <c r="D139" i="124"/>
  <c r="F93" i="124"/>
  <c r="F140" i="124"/>
  <c r="D140" i="124"/>
  <c r="F100" i="124"/>
  <c r="F146" i="124" s="1"/>
  <c r="D146" i="124"/>
  <c r="E102" i="124"/>
  <c r="E148" i="124" s="1"/>
  <c r="D148" i="124"/>
  <c r="F102" i="124"/>
  <c r="F148" i="124" s="1"/>
  <c r="D143" i="124"/>
  <c r="F97" i="124"/>
  <c r="F143" i="124" s="1"/>
  <c r="E126" i="125" l="1"/>
  <c r="E125" i="125"/>
  <c r="E124" i="125"/>
  <c r="E126" i="124"/>
  <c r="E125" i="124"/>
  <c r="E124" i="124"/>
  <c r="J112" i="124" s="1"/>
  <c r="F139" i="125"/>
  <c r="J100" i="125"/>
  <c r="J99" i="125"/>
  <c r="J98" i="125"/>
  <c r="J97" i="125"/>
  <c r="J96" i="125"/>
  <c r="J95" i="125"/>
  <c r="J94" i="125"/>
  <c r="J93" i="125"/>
  <c r="J92" i="125"/>
  <c r="F139" i="124"/>
  <c r="J100" i="124"/>
  <c r="J99" i="124"/>
  <c r="J98" i="124"/>
  <c r="J97" i="124"/>
  <c r="J96" i="124"/>
  <c r="J95" i="124"/>
  <c r="J94" i="124"/>
  <c r="J93" i="124"/>
  <c r="J92" i="124"/>
  <c r="C148" i="120"/>
  <c r="B148" i="120"/>
  <c r="A148" i="120"/>
  <c r="C147" i="120"/>
  <c r="B147" i="120"/>
  <c r="A147" i="120"/>
  <c r="C146" i="120"/>
  <c r="B146" i="120"/>
  <c r="A146" i="120"/>
  <c r="C145" i="120"/>
  <c r="B145" i="120"/>
  <c r="A145" i="120"/>
  <c r="C144" i="120"/>
  <c r="B144" i="120"/>
  <c r="A144" i="120"/>
  <c r="C143" i="120"/>
  <c r="B143" i="120"/>
  <c r="A143" i="120"/>
  <c r="C142" i="120"/>
  <c r="B142" i="120"/>
  <c r="A142" i="120"/>
  <c r="C141" i="120"/>
  <c r="B141" i="120"/>
  <c r="A141" i="120"/>
  <c r="C140" i="120"/>
  <c r="B140" i="120"/>
  <c r="A140" i="120"/>
  <c r="C139" i="120"/>
  <c r="B139" i="120"/>
  <c r="A139" i="120"/>
  <c r="B131" i="120"/>
  <c r="C131" i="120" s="1"/>
  <c r="B130" i="120"/>
  <c r="C130" i="120" s="1"/>
  <c r="B129" i="120"/>
  <c r="C129" i="120" s="1"/>
  <c r="B127" i="120"/>
  <c r="C127" i="120" s="1"/>
  <c r="L113" i="120" s="1"/>
  <c r="B126" i="120"/>
  <c r="C126" i="120" s="1"/>
  <c r="L112" i="120" s="1"/>
  <c r="B125" i="120"/>
  <c r="C125" i="120" s="1"/>
  <c r="L111" i="120" s="1"/>
  <c r="C124" i="120"/>
  <c r="L110" i="120" s="1"/>
  <c r="B124" i="120"/>
  <c r="B128" i="120" s="1"/>
  <c r="C128" i="120" s="1"/>
  <c r="C117" i="120"/>
  <c r="B117" i="120"/>
  <c r="A117" i="120"/>
  <c r="C116" i="120"/>
  <c r="B116" i="120"/>
  <c r="A116" i="120"/>
  <c r="L115" i="120"/>
  <c r="M115" i="120" s="1"/>
  <c r="J115" i="120"/>
  <c r="I115" i="120"/>
  <c r="C115" i="120"/>
  <c r="B115" i="120"/>
  <c r="A115" i="120"/>
  <c r="S114" i="120"/>
  <c r="T114" i="120" s="1"/>
  <c r="Q114" i="120"/>
  <c r="O114" i="120"/>
  <c r="L114" i="120"/>
  <c r="M114" i="120" s="1"/>
  <c r="J114" i="120"/>
  <c r="I114" i="120"/>
  <c r="C114" i="120"/>
  <c r="B114" i="120"/>
  <c r="A114" i="120"/>
  <c r="S113" i="120"/>
  <c r="T113" i="120" s="1"/>
  <c r="Q113" i="120"/>
  <c r="O113" i="120"/>
  <c r="C113" i="120"/>
  <c r="B113" i="120"/>
  <c r="A113" i="120"/>
  <c r="S112" i="120"/>
  <c r="T112" i="120" s="1"/>
  <c r="Q112" i="120"/>
  <c r="O112" i="120"/>
  <c r="C112" i="120"/>
  <c r="B112" i="120"/>
  <c r="A112" i="120"/>
  <c r="S111" i="120"/>
  <c r="T111" i="120" s="1"/>
  <c r="Q111" i="120"/>
  <c r="P111" i="120"/>
  <c r="G113" i="120" s="1"/>
  <c r="O111" i="120"/>
  <c r="C111" i="120"/>
  <c r="B111" i="120"/>
  <c r="A111" i="120"/>
  <c r="S110" i="120"/>
  <c r="T110" i="120" s="1"/>
  <c r="Q110" i="120"/>
  <c r="O110" i="120"/>
  <c r="C110" i="120"/>
  <c r="B110" i="120"/>
  <c r="A110" i="120"/>
  <c r="S109" i="120"/>
  <c r="T109" i="120" s="1"/>
  <c r="Q109" i="120"/>
  <c r="O109" i="120"/>
  <c r="L109" i="120"/>
  <c r="M109" i="120" s="1"/>
  <c r="J109" i="120"/>
  <c r="I109" i="120"/>
  <c r="C109" i="120"/>
  <c r="B109" i="120"/>
  <c r="A109" i="120"/>
  <c r="S108" i="120"/>
  <c r="T108" i="120" s="1"/>
  <c r="Q108" i="120"/>
  <c r="O108" i="120"/>
  <c r="L108" i="120"/>
  <c r="M108" i="120" s="1"/>
  <c r="J108" i="120"/>
  <c r="I108" i="120"/>
  <c r="C108" i="120"/>
  <c r="B108" i="120"/>
  <c r="A108" i="120"/>
  <c r="D107" i="120"/>
  <c r="C102" i="120"/>
  <c r="B102" i="120"/>
  <c r="A102" i="120"/>
  <c r="C101" i="120"/>
  <c r="B101" i="120"/>
  <c r="A101" i="120"/>
  <c r="C100" i="120"/>
  <c r="B100" i="120"/>
  <c r="A100" i="120"/>
  <c r="C99" i="120"/>
  <c r="B99" i="120"/>
  <c r="A99" i="120"/>
  <c r="C98" i="120"/>
  <c r="B98" i="120"/>
  <c r="A98" i="120"/>
  <c r="C97" i="120"/>
  <c r="B97" i="120"/>
  <c r="A97" i="120"/>
  <c r="C96" i="120"/>
  <c r="B96" i="120"/>
  <c r="A96" i="120"/>
  <c r="C95" i="120"/>
  <c r="B95" i="120"/>
  <c r="A95" i="120"/>
  <c r="C94" i="120"/>
  <c r="B94" i="120"/>
  <c r="A94" i="120"/>
  <c r="C93" i="120"/>
  <c r="B93" i="120"/>
  <c r="A93" i="120"/>
  <c r="D92" i="120"/>
  <c r="D138" i="120" s="1"/>
  <c r="S86" i="120"/>
  <c r="P86" i="120"/>
  <c r="M86" i="120"/>
  <c r="J86" i="120"/>
  <c r="G86" i="120"/>
  <c r="D86" i="120"/>
  <c r="S85" i="120"/>
  <c r="P85" i="120"/>
  <c r="M85" i="120"/>
  <c r="J85" i="120"/>
  <c r="G85" i="120"/>
  <c r="D85" i="120"/>
  <c r="U84" i="120"/>
  <c r="T84" i="120"/>
  <c r="R84" i="120"/>
  <c r="Q84" i="120"/>
  <c r="O84" i="120"/>
  <c r="N84" i="120"/>
  <c r="L84" i="120"/>
  <c r="K84" i="120"/>
  <c r="I84" i="120"/>
  <c r="H84" i="120"/>
  <c r="F84" i="120"/>
  <c r="E84" i="120"/>
  <c r="C84" i="120"/>
  <c r="B84" i="120"/>
  <c r="A84" i="120"/>
  <c r="U83" i="120"/>
  <c r="T83" i="120"/>
  <c r="R83" i="120"/>
  <c r="Q83" i="120"/>
  <c r="O83" i="120"/>
  <c r="N83" i="120"/>
  <c r="L83" i="120"/>
  <c r="K83" i="120"/>
  <c r="I83" i="120"/>
  <c r="H83" i="120"/>
  <c r="F83" i="120"/>
  <c r="E83" i="120"/>
  <c r="C83" i="120"/>
  <c r="B83" i="120"/>
  <c r="A83" i="120"/>
  <c r="U82" i="120"/>
  <c r="T82" i="120"/>
  <c r="R82" i="120"/>
  <c r="Q82" i="120"/>
  <c r="O82" i="120"/>
  <c r="N82" i="120"/>
  <c r="L82" i="120"/>
  <c r="K82" i="120"/>
  <c r="I82" i="120"/>
  <c r="H82" i="120"/>
  <c r="F82" i="120"/>
  <c r="E82" i="120"/>
  <c r="C82" i="120"/>
  <c r="B82" i="120"/>
  <c r="A82" i="120"/>
  <c r="U81" i="120"/>
  <c r="T81" i="120"/>
  <c r="R81" i="120"/>
  <c r="Q81" i="120"/>
  <c r="O81" i="120"/>
  <c r="N81" i="120"/>
  <c r="L81" i="120"/>
  <c r="K81" i="120"/>
  <c r="I81" i="120"/>
  <c r="H81" i="120"/>
  <c r="F81" i="120"/>
  <c r="E81" i="120"/>
  <c r="C81" i="120"/>
  <c r="B81" i="120"/>
  <c r="A81" i="120"/>
  <c r="U80" i="120"/>
  <c r="T80" i="120"/>
  <c r="R80" i="120"/>
  <c r="Q80" i="120"/>
  <c r="O80" i="120"/>
  <c r="N80" i="120"/>
  <c r="L80" i="120"/>
  <c r="K80" i="120"/>
  <c r="I80" i="120"/>
  <c r="H80" i="120"/>
  <c r="F80" i="120"/>
  <c r="E80" i="120"/>
  <c r="C80" i="120"/>
  <c r="B80" i="120"/>
  <c r="A80" i="120"/>
  <c r="U79" i="120"/>
  <c r="T79" i="120"/>
  <c r="R79" i="120"/>
  <c r="Q79" i="120"/>
  <c r="O79" i="120"/>
  <c r="N79" i="120"/>
  <c r="L79" i="120"/>
  <c r="K79" i="120"/>
  <c r="I79" i="120"/>
  <c r="H79" i="120"/>
  <c r="F79" i="120"/>
  <c r="E79" i="120"/>
  <c r="C79" i="120"/>
  <c r="B79" i="120"/>
  <c r="A79" i="120"/>
  <c r="U78" i="120"/>
  <c r="T78" i="120"/>
  <c r="R78" i="120"/>
  <c r="Q78" i="120"/>
  <c r="O78" i="120"/>
  <c r="N78" i="120"/>
  <c r="L78" i="120"/>
  <c r="K78" i="120"/>
  <c r="I78" i="120"/>
  <c r="H78" i="120"/>
  <c r="F78" i="120"/>
  <c r="E78" i="120"/>
  <c r="C78" i="120"/>
  <c r="B78" i="120"/>
  <c r="A78" i="120"/>
  <c r="U77" i="120"/>
  <c r="T77" i="120"/>
  <c r="R77" i="120"/>
  <c r="Q77" i="120"/>
  <c r="O77" i="120"/>
  <c r="N77" i="120"/>
  <c r="L77" i="120"/>
  <c r="K77" i="120"/>
  <c r="I77" i="120"/>
  <c r="H77" i="120"/>
  <c r="F77" i="120"/>
  <c r="E77" i="120"/>
  <c r="C77" i="120"/>
  <c r="B77" i="120"/>
  <c r="A77" i="120"/>
  <c r="U76" i="120"/>
  <c r="T76" i="120"/>
  <c r="R76" i="120"/>
  <c r="Q76" i="120"/>
  <c r="O76" i="120"/>
  <c r="N76" i="120"/>
  <c r="L76" i="120"/>
  <c r="K76" i="120"/>
  <c r="I76" i="120"/>
  <c r="H76" i="120"/>
  <c r="F76" i="120"/>
  <c r="E76" i="120"/>
  <c r="C76" i="120"/>
  <c r="B76" i="120"/>
  <c r="A76" i="120"/>
  <c r="U75" i="120"/>
  <c r="T75" i="120"/>
  <c r="R75" i="120"/>
  <c r="Q75" i="120"/>
  <c r="O75" i="120"/>
  <c r="N75" i="120"/>
  <c r="L75" i="120"/>
  <c r="K75" i="120"/>
  <c r="I75" i="120"/>
  <c r="H75" i="120"/>
  <c r="F75" i="120"/>
  <c r="E75" i="120"/>
  <c r="C75" i="120"/>
  <c r="B75" i="120"/>
  <c r="A75" i="120"/>
  <c r="U74" i="120"/>
  <c r="R74" i="120"/>
  <c r="O74" i="120"/>
  <c r="L74" i="120"/>
  <c r="I74" i="120"/>
  <c r="F74" i="120"/>
  <c r="S69" i="120"/>
  <c r="P69" i="120"/>
  <c r="M69" i="120"/>
  <c r="J69" i="120"/>
  <c r="G69" i="120"/>
  <c r="D69" i="120"/>
  <c r="S68" i="120"/>
  <c r="P68" i="120"/>
  <c r="M68" i="120"/>
  <c r="J68" i="120"/>
  <c r="G68" i="120"/>
  <c r="D68" i="120"/>
  <c r="U67" i="120"/>
  <c r="T67" i="120"/>
  <c r="R67" i="120"/>
  <c r="Q67" i="120"/>
  <c r="O67" i="120"/>
  <c r="N67" i="120"/>
  <c r="L67" i="120"/>
  <c r="K67" i="120"/>
  <c r="I67" i="120"/>
  <c r="H67" i="120"/>
  <c r="F67" i="120"/>
  <c r="E67" i="120"/>
  <c r="C67" i="120"/>
  <c r="B67" i="120"/>
  <c r="U66" i="120"/>
  <c r="T66" i="120"/>
  <c r="R66" i="120"/>
  <c r="Q66" i="120"/>
  <c r="O66" i="120"/>
  <c r="N66" i="120"/>
  <c r="L66" i="120"/>
  <c r="K66" i="120"/>
  <c r="I66" i="120"/>
  <c r="H66" i="120"/>
  <c r="F66" i="120"/>
  <c r="E66" i="120"/>
  <c r="C66" i="120"/>
  <c r="B66" i="120"/>
  <c r="U65" i="120"/>
  <c r="T65" i="120"/>
  <c r="R65" i="120"/>
  <c r="Q65" i="120"/>
  <c r="O65" i="120"/>
  <c r="N65" i="120"/>
  <c r="L65" i="120"/>
  <c r="K65" i="120"/>
  <c r="I65" i="120"/>
  <c r="H65" i="120"/>
  <c r="F65" i="120"/>
  <c r="E65" i="120"/>
  <c r="C65" i="120"/>
  <c r="B65" i="120"/>
  <c r="U64" i="120"/>
  <c r="T64" i="120"/>
  <c r="R64" i="120"/>
  <c r="Q64" i="120"/>
  <c r="O64" i="120"/>
  <c r="N64" i="120"/>
  <c r="L64" i="120"/>
  <c r="K64" i="120"/>
  <c r="I64" i="120"/>
  <c r="H64" i="120"/>
  <c r="F64" i="120"/>
  <c r="E64" i="120"/>
  <c r="C64" i="120"/>
  <c r="B64" i="120"/>
  <c r="U63" i="120"/>
  <c r="T63" i="120"/>
  <c r="R63" i="120"/>
  <c r="Q63" i="120"/>
  <c r="O63" i="120"/>
  <c r="N63" i="120"/>
  <c r="L63" i="120"/>
  <c r="K63" i="120"/>
  <c r="I63" i="120"/>
  <c r="H63" i="120"/>
  <c r="F63" i="120"/>
  <c r="E63" i="120"/>
  <c r="C63" i="120"/>
  <c r="B63" i="120"/>
  <c r="U62" i="120"/>
  <c r="T62" i="120"/>
  <c r="R62" i="120"/>
  <c r="Q62" i="120"/>
  <c r="O62" i="120"/>
  <c r="N62" i="120"/>
  <c r="L62" i="120"/>
  <c r="K62" i="120"/>
  <c r="I62" i="120"/>
  <c r="H62" i="120"/>
  <c r="F62" i="120"/>
  <c r="E62" i="120"/>
  <c r="C62" i="120"/>
  <c r="B62" i="120"/>
  <c r="U61" i="120"/>
  <c r="T61" i="120"/>
  <c r="R61" i="120"/>
  <c r="Q61" i="120"/>
  <c r="O61" i="120"/>
  <c r="N61" i="120"/>
  <c r="L61" i="120"/>
  <c r="K61" i="120"/>
  <c r="I61" i="120"/>
  <c r="H61" i="120"/>
  <c r="F61" i="120"/>
  <c r="E61" i="120"/>
  <c r="C61" i="120"/>
  <c r="B61" i="120"/>
  <c r="U60" i="120"/>
  <c r="T60" i="120"/>
  <c r="R60" i="120"/>
  <c r="Q60" i="120"/>
  <c r="O60" i="120"/>
  <c r="N60" i="120"/>
  <c r="L60" i="120"/>
  <c r="K60" i="120"/>
  <c r="I60" i="120"/>
  <c r="H60" i="120"/>
  <c r="F60" i="120"/>
  <c r="E60" i="120"/>
  <c r="C60" i="120"/>
  <c r="B60" i="120"/>
  <c r="U59" i="120"/>
  <c r="T59" i="120"/>
  <c r="R59" i="120"/>
  <c r="Q59" i="120"/>
  <c r="O59" i="120"/>
  <c r="N59" i="120"/>
  <c r="L59" i="120"/>
  <c r="K59" i="120"/>
  <c r="I59" i="120"/>
  <c r="H59" i="120"/>
  <c r="F59" i="120"/>
  <c r="E59" i="120"/>
  <c r="C59" i="120"/>
  <c r="B59" i="120"/>
  <c r="U58" i="120"/>
  <c r="T58" i="120"/>
  <c r="R58" i="120"/>
  <c r="Q58" i="120"/>
  <c r="O58" i="120"/>
  <c r="N58" i="120"/>
  <c r="L58" i="120"/>
  <c r="K58" i="120"/>
  <c r="I58" i="120"/>
  <c r="H58" i="120"/>
  <c r="F58" i="120"/>
  <c r="E58" i="120"/>
  <c r="C58" i="120"/>
  <c r="B58" i="120"/>
  <c r="U57" i="120"/>
  <c r="R57" i="120"/>
  <c r="O57" i="120"/>
  <c r="L57" i="120"/>
  <c r="I57" i="120"/>
  <c r="F57" i="120"/>
  <c r="S52" i="120"/>
  <c r="P52" i="120"/>
  <c r="M52" i="120"/>
  <c r="J52" i="120"/>
  <c r="G52" i="120"/>
  <c r="D52" i="120"/>
  <c r="S51" i="120"/>
  <c r="P51" i="120"/>
  <c r="M51" i="120"/>
  <c r="J51" i="120"/>
  <c r="G51" i="120"/>
  <c r="D51" i="120"/>
  <c r="U50" i="120"/>
  <c r="T50" i="120"/>
  <c r="R50" i="120"/>
  <c r="Q50" i="120"/>
  <c r="O50" i="120"/>
  <c r="N50" i="120"/>
  <c r="L50" i="120"/>
  <c r="K50" i="120"/>
  <c r="I50" i="120"/>
  <c r="H50" i="120"/>
  <c r="F50" i="120"/>
  <c r="E50" i="120"/>
  <c r="C50" i="120"/>
  <c r="B50" i="120"/>
  <c r="U49" i="120"/>
  <c r="T49" i="120"/>
  <c r="R49" i="120"/>
  <c r="Q49" i="120"/>
  <c r="O49" i="120"/>
  <c r="N49" i="120"/>
  <c r="L49" i="120"/>
  <c r="K49" i="120"/>
  <c r="I49" i="120"/>
  <c r="H49" i="120"/>
  <c r="F49" i="120"/>
  <c r="E49" i="120"/>
  <c r="C49" i="120"/>
  <c r="B49" i="120"/>
  <c r="U48" i="120"/>
  <c r="T48" i="120"/>
  <c r="R48" i="120"/>
  <c r="Q48" i="120"/>
  <c r="O48" i="120"/>
  <c r="N48" i="120"/>
  <c r="L48" i="120"/>
  <c r="K48" i="120"/>
  <c r="I48" i="120"/>
  <c r="H48" i="120"/>
  <c r="F48" i="120"/>
  <c r="E48" i="120"/>
  <c r="C48" i="120"/>
  <c r="B48" i="120"/>
  <c r="U47" i="120"/>
  <c r="T47" i="120"/>
  <c r="R47" i="120"/>
  <c r="Q47" i="120"/>
  <c r="O47" i="120"/>
  <c r="N47" i="120"/>
  <c r="L47" i="120"/>
  <c r="K47" i="120"/>
  <c r="I47" i="120"/>
  <c r="H47" i="120"/>
  <c r="F47" i="120"/>
  <c r="E47" i="120"/>
  <c r="C47" i="120"/>
  <c r="B47" i="120"/>
  <c r="U46" i="120"/>
  <c r="T46" i="120"/>
  <c r="R46" i="120"/>
  <c r="Q46" i="120"/>
  <c r="O46" i="120"/>
  <c r="N46" i="120"/>
  <c r="L46" i="120"/>
  <c r="K46" i="120"/>
  <c r="I46" i="120"/>
  <c r="H46" i="120"/>
  <c r="F46" i="120"/>
  <c r="E46" i="120"/>
  <c r="C46" i="120"/>
  <c r="B46" i="120"/>
  <c r="U45" i="120"/>
  <c r="T45" i="120"/>
  <c r="R45" i="120"/>
  <c r="Q45" i="120"/>
  <c r="O45" i="120"/>
  <c r="N45" i="120"/>
  <c r="L45" i="120"/>
  <c r="K45" i="120"/>
  <c r="I45" i="120"/>
  <c r="H45" i="120"/>
  <c r="F45" i="120"/>
  <c r="E45" i="120"/>
  <c r="C45" i="120"/>
  <c r="B45" i="120"/>
  <c r="U44" i="120"/>
  <c r="T44" i="120"/>
  <c r="R44" i="120"/>
  <c r="Q44" i="120"/>
  <c r="O44" i="120"/>
  <c r="N44" i="120"/>
  <c r="L44" i="120"/>
  <c r="K44" i="120"/>
  <c r="I44" i="120"/>
  <c r="H44" i="120"/>
  <c r="F44" i="120"/>
  <c r="E44" i="120"/>
  <c r="C44" i="120"/>
  <c r="B44" i="120"/>
  <c r="U43" i="120"/>
  <c r="T43" i="120"/>
  <c r="R43" i="120"/>
  <c r="Q43" i="120"/>
  <c r="O43" i="120"/>
  <c r="N43" i="120"/>
  <c r="L43" i="120"/>
  <c r="K43" i="120"/>
  <c r="I43" i="120"/>
  <c r="H43" i="120"/>
  <c r="F43" i="120"/>
  <c r="E43" i="120"/>
  <c r="C43" i="120"/>
  <c r="B43" i="120"/>
  <c r="U42" i="120"/>
  <c r="T42" i="120"/>
  <c r="R42" i="120"/>
  <c r="Q42" i="120"/>
  <c r="O42" i="120"/>
  <c r="N42" i="120"/>
  <c r="L42" i="120"/>
  <c r="K42" i="120"/>
  <c r="I42" i="120"/>
  <c r="H42" i="120"/>
  <c r="F42" i="120"/>
  <c r="E42" i="120"/>
  <c r="C42" i="120"/>
  <c r="B42" i="120"/>
  <c r="U41" i="120"/>
  <c r="T41" i="120"/>
  <c r="R41" i="120"/>
  <c r="Q41" i="120"/>
  <c r="O41" i="120"/>
  <c r="N41" i="120"/>
  <c r="L41" i="120"/>
  <c r="K41" i="120"/>
  <c r="I41" i="120"/>
  <c r="H41" i="120"/>
  <c r="F41" i="120"/>
  <c r="E41" i="120"/>
  <c r="C41" i="120"/>
  <c r="B41" i="120"/>
  <c r="U40" i="120"/>
  <c r="R40" i="120"/>
  <c r="O40" i="120"/>
  <c r="L40" i="120"/>
  <c r="I40" i="120"/>
  <c r="F40" i="120"/>
  <c r="S35" i="120"/>
  <c r="P35" i="120"/>
  <c r="M35" i="120"/>
  <c r="J35" i="120"/>
  <c r="G35" i="120"/>
  <c r="D35" i="120"/>
  <c r="S34" i="120"/>
  <c r="P34" i="120"/>
  <c r="M34" i="120"/>
  <c r="J34" i="120"/>
  <c r="G34" i="120"/>
  <c r="D34" i="120"/>
  <c r="U33" i="120"/>
  <c r="T33" i="120"/>
  <c r="R33" i="120"/>
  <c r="Q33" i="120"/>
  <c r="O33" i="120"/>
  <c r="N33" i="120"/>
  <c r="L33" i="120"/>
  <c r="K33" i="120"/>
  <c r="I33" i="120"/>
  <c r="H33" i="120"/>
  <c r="F33" i="120"/>
  <c r="E33" i="120"/>
  <c r="C33" i="120"/>
  <c r="B33" i="120"/>
  <c r="U32" i="120"/>
  <c r="T32" i="120"/>
  <c r="R32" i="120"/>
  <c r="Q32" i="120"/>
  <c r="O32" i="120"/>
  <c r="N32" i="120"/>
  <c r="L32" i="120"/>
  <c r="K32" i="120"/>
  <c r="I32" i="120"/>
  <c r="H32" i="120"/>
  <c r="F32" i="120"/>
  <c r="E32" i="120"/>
  <c r="C32" i="120"/>
  <c r="B32" i="120"/>
  <c r="U31" i="120"/>
  <c r="T31" i="120"/>
  <c r="R31" i="120"/>
  <c r="Q31" i="120"/>
  <c r="O31" i="120"/>
  <c r="N31" i="120"/>
  <c r="C31" i="120"/>
  <c r="B31" i="120"/>
  <c r="U30" i="120"/>
  <c r="T30" i="120"/>
  <c r="R30" i="120"/>
  <c r="Q30" i="120"/>
  <c r="O30" i="120"/>
  <c r="N30" i="120"/>
  <c r="C30" i="120"/>
  <c r="B30" i="120"/>
  <c r="U29" i="120"/>
  <c r="T29" i="120"/>
  <c r="R29" i="120"/>
  <c r="Q29" i="120"/>
  <c r="O29" i="120"/>
  <c r="N29" i="120"/>
  <c r="C29" i="120"/>
  <c r="B29" i="120"/>
  <c r="U28" i="120"/>
  <c r="T28" i="120"/>
  <c r="R28" i="120"/>
  <c r="Q28" i="120"/>
  <c r="O28" i="120"/>
  <c r="N28" i="120"/>
  <c r="C28" i="120"/>
  <c r="B28" i="120"/>
  <c r="U27" i="120"/>
  <c r="T27" i="120"/>
  <c r="R27" i="120"/>
  <c r="Q27" i="120"/>
  <c r="O27" i="120"/>
  <c r="N27" i="120"/>
  <c r="C27" i="120"/>
  <c r="B27" i="120"/>
  <c r="U26" i="120"/>
  <c r="T26" i="120"/>
  <c r="R26" i="120"/>
  <c r="Q26" i="120"/>
  <c r="O26" i="120"/>
  <c r="N26" i="120"/>
  <c r="C26" i="120"/>
  <c r="B26" i="120"/>
  <c r="U25" i="120"/>
  <c r="T25" i="120"/>
  <c r="R25" i="120"/>
  <c r="Q25" i="120"/>
  <c r="O25" i="120"/>
  <c r="N25" i="120"/>
  <c r="C25" i="120"/>
  <c r="B25" i="120"/>
  <c r="U24" i="120"/>
  <c r="T24" i="120"/>
  <c r="R24" i="120"/>
  <c r="Q24" i="120"/>
  <c r="O24" i="120"/>
  <c r="N24" i="120"/>
  <c r="C24" i="120"/>
  <c r="B24" i="120"/>
  <c r="U23" i="120"/>
  <c r="R23" i="120"/>
  <c r="O23" i="120"/>
  <c r="L23" i="120"/>
  <c r="I23" i="120"/>
  <c r="F23" i="120"/>
  <c r="S19" i="120"/>
  <c r="P19" i="120"/>
  <c r="R15" i="120" s="1"/>
  <c r="M19" i="120"/>
  <c r="J19" i="120"/>
  <c r="G19" i="120"/>
  <c r="I11" i="120" s="1"/>
  <c r="D19" i="120"/>
  <c r="S18" i="120"/>
  <c r="P18" i="120"/>
  <c r="M18" i="120"/>
  <c r="J18" i="120"/>
  <c r="G18" i="120"/>
  <c r="D18" i="120"/>
  <c r="U17" i="120"/>
  <c r="T17" i="120"/>
  <c r="R17" i="120"/>
  <c r="Q17" i="120"/>
  <c r="O17" i="120"/>
  <c r="N17" i="120"/>
  <c r="L17" i="120"/>
  <c r="K17" i="120"/>
  <c r="I17" i="120"/>
  <c r="H17" i="120"/>
  <c r="F17" i="120"/>
  <c r="E17" i="120"/>
  <c r="U16" i="120"/>
  <c r="T16" i="120"/>
  <c r="R16" i="120"/>
  <c r="Q16" i="120"/>
  <c r="O16" i="120"/>
  <c r="N16" i="120"/>
  <c r="L16" i="120"/>
  <c r="K16" i="120"/>
  <c r="I16" i="120"/>
  <c r="H16" i="120"/>
  <c r="F16" i="120"/>
  <c r="E16" i="120"/>
  <c r="T15" i="120"/>
  <c r="Q15" i="120"/>
  <c r="N15" i="120"/>
  <c r="K15" i="120"/>
  <c r="H15" i="120"/>
  <c r="E15" i="120"/>
  <c r="T14" i="120"/>
  <c r="Q14" i="120"/>
  <c r="N14" i="120"/>
  <c r="K14" i="120"/>
  <c r="H14" i="120"/>
  <c r="E14" i="120"/>
  <c r="T13" i="120"/>
  <c r="Q13" i="120"/>
  <c r="N13" i="120"/>
  <c r="K13" i="120"/>
  <c r="H13" i="120"/>
  <c r="E13" i="120"/>
  <c r="T12" i="120"/>
  <c r="Q12" i="120"/>
  <c r="N12" i="120"/>
  <c r="K12" i="120"/>
  <c r="H12" i="120"/>
  <c r="E12" i="120"/>
  <c r="T11" i="120"/>
  <c r="Q11" i="120"/>
  <c r="N11" i="120"/>
  <c r="K11" i="120"/>
  <c r="H11" i="120"/>
  <c r="E11" i="120"/>
  <c r="T10" i="120"/>
  <c r="Q10" i="120"/>
  <c r="N10" i="120"/>
  <c r="K10" i="120"/>
  <c r="H10" i="120"/>
  <c r="E10" i="120"/>
  <c r="T9" i="120"/>
  <c r="Q9" i="120"/>
  <c r="N9" i="120"/>
  <c r="K9" i="120"/>
  <c r="H9" i="120"/>
  <c r="E9" i="120"/>
  <c r="T8" i="120"/>
  <c r="Q8" i="120"/>
  <c r="N8" i="120"/>
  <c r="K8" i="120"/>
  <c r="H8" i="120"/>
  <c r="E8" i="120"/>
  <c r="U7" i="120"/>
  <c r="R7" i="120"/>
  <c r="O7" i="120"/>
  <c r="L7" i="120"/>
  <c r="L9" i="120" s="1"/>
  <c r="I7" i="120"/>
  <c r="F7" i="120"/>
  <c r="U13" i="120" l="1"/>
  <c r="R13" i="120"/>
  <c r="R9" i="120"/>
  <c r="R12" i="120"/>
  <c r="R8" i="120"/>
  <c r="R11" i="120"/>
  <c r="R10" i="120"/>
  <c r="O14" i="120"/>
  <c r="U15" i="120"/>
  <c r="U14" i="120"/>
  <c r="U10" i="120"/>
  <c r="U12" i="120"/>
  <c r="U8" i="120"/>
  <c r="U11" i="120"/>
  <c r="E111" i="120" s="1"/>
  <c r="U9" i="120"/>
  <c r="R14" i="120"/>
  <c r="E127" i="124"/>
  <c r="E129" i="124" s="1"/>
  <c r="I112" i="124" s="1"/>
  <c r="J113" i="124" s="1"/>
  <c r="L15" i="120"/>
  <c r="K108" i="120"/>
  <c r="L27" i="120"/>
  <c r="I15" i="120"/>
  <c r="L10" i="120"/>
  <c r="F30" i="120"/>
  <c r="I30" i="120"/>
  <c r="I28" i="120"/>
  <c r="D116" i="120"/>
  <c r="I27" i="120"/>
  <c r="I12" i="120"/>
  <c r="O15" i="120"/>
  <c r="L12" i="120"/>
  <c r="O10" i="120"/>
  <c r="F31" i="120"/>
  <c r="E107" i="120"/>
  <c r="L13" i="120"/>
  <c r="O9" i="120"/>
  <c r="O11" i="120"/>
  <c r="E92" i="120"/>
  <c r="E138" i="120" s="1"/>
  <c r="F15" i="120"/>
  <c r="I24" i="120"/>
  <c r="L28" i="120"/>
  <c r="B132" i="120"/>
  <c r="C132" i="120" s="1"/>
  <c r="I8" i="120"/>
  <c r="O13" i="120"/>
  <c r="L14" i="120"/>
  <c r="I13" i="120"/>
  <c r="I31" i="120"/>
  <c r="G109" i="120"/>
  <c r="E127" i="125"/>
  <c r="E129" i="125" s="1"/>
  <c r="J111" i="125" s="1"/>
  <c r="I110" i="125" s="1"/>
  <c r="J110" i="125" s="1"/>
  <c r="K110" i="125" s="1"/>
  <c r="I111" i="125"/>
  <c r="F117" i="125" s="1"/>
  <c r="J112" i="125"/>
  <c r="I111" i="124"/>
  <c r="F117" i="124" s="1"/>
  <c r="J101" i="125"/>
  <c r="K101" i="125" s="1"/>
  <c r="J101" i="124"/>
  <c r="K101" i="124" s="1"/>
  <c r="D117" i="120"/>
  <c r="E117" i="120" s="1"/>
  <c r="L31" i="120"/>
  <c r="L24" i="120"/>
  <c r="L25" i="120"/>
  <c r="L26" i="120"/>
  <c r="L29" i="120"/>
  <c r="L30" i="120"/>
  <c r="I25" i="120"/>
  <c r="I29" i="120"/>
  <c r="D114" i="120"/>
  <c r="I26" i="120"/>
  <c r="D113" i="120"/>
  <c r="F25" i="120"/>
  <c r="F27" i="120"/>
  <c r="F29" i="120"/>
  <c r="D109" i="120"/>
  <c r="F24" i="120"/>
  <c r="F26" i="120"/>
  <c r="F28" i="120"/>
  <c r="O8" i="120"/>
  <c r="O12" i="120"/>
  <c r="L11" i="120"/>
  <c r="E116" i="120"/>
  <c r="L8" i="120"/>
  <c r="D95" i="120"/>
  <c r="D141" i="120" s="1"/>
  <c r="D98" i="120"/>
  <c r="D144" i="120" s="1"/>
  <c r="K115" i="120"/>
  <c r="R114" i="120"/>
  <c r="D108" i="120"/>
  <c r="I10" i="120"/>
  <c r="D112" i="120"/>
  <c r="I14" i="120"/>
  <c r="K109" i="120"/>
  <c r="G111" i="120"/>
  <c r="G112" i="120"/>
  <c r="D110" i="120"/>
  <c r="I9" i="120"/>
  <c r="D111" i="120"/>
  <c r="D115" i="120"/>
  <c r="E101" i="120"/>
  <c r="E147" i="120" s="1"/>
  <c r="G110" i="120"/>
  <c r="R108" i="120"/>
  <c r="K114" i="120"/>
  <c r="R112" i="120"/>
  <c r="R113" i="120"/>
  <c r="G115" i="120"/>
  <c r="G116" i="120"/>
  <c r="G117" i="120"/>
  <c r="F8" i="120"/>
  <c r="F9" i="120"/>
  <c r="F10" i="120"/>
  <c r="F11" i="120"/>
  <c r="F12" i="120"/>
  <c r="F13" i="120"/>
  <c r="F14" i="120"/>
  <c r="G108" i="120"/>
  <c r="R110" i="120"/>
  <c r="R111" i="120"/>
  <c r="G114" i="120"/>
  <c r="R109" i="120"/>
  <c r="T115" i="120"/>
  <c r="D93" i="120"/>
  <c r="D94" i="120"/>
  <c r="D96" i="120"/>
  <c r="D97" i="120"/>
  <c r="D99" i="120"/>
  <c r="D100" i="120"/>
  <c r="D101" i="120"/>
  <c r="D102" i="120"/>
  <c r="J111" i="124" l="1"/>
  <c r="I110" i="124" s="1"/>
  <c r="J110" i="124" s="1"/>
  <c r="K110" i="124" s="1"/>
  <c r="E114" i="120"/>
  <c r="E115" i="120"/>
  <c r="E97" i="120"/>
  <c r="E143" i="120" s="1"/>
  <c r="K111" i="124"/>
  <c r="E98" i="120"/>
  <c r="E144" i="120" s="1"/>
  <c r="E100" i="120"/>
  <c r="E146" i="120" s="1"/>
  <c r="E99" i="120"/>
  <c r="E145" i="120" s="1"/>
  <c r="E108" i="120"/>
  <c r="E113" i="120"/>
  <c r="I112" i="125"/>
  <c r="J113" i="125" s="1"/>
  <c r="I113" i="125" s="1"/>
  <c r="K113" i="125" s="1"/>
  <c r="K111" i="125"/>
  <c r="K97" i="125"/>
  <c r="F113" i="125"/>
  <c r="K93" i="125"/>
  <c r="K98" i="125"/>
  <c r="K92" i="125"/>
  <c r="K100" i="125"/>
  <c r="K94" i="125"/>
  <c r="F115" i="125"/>
  <c r="F111" i="125"/>
  <c r="K96" i="125"/>
  <c r="K99" i="125"/>
  <c r="F110" i="125"/>
  <c r="K95" i="125"/>
  <c r="K99" i="124"/>
  <c r="K92" i="124"/>
  <c r="K95" i="124"/>
  <c r="F112" i="124"/>
  <c r="F113" i="124"/>
  <c r="K98" i="124"/>
  <c r="F110" i="124"/>
  <c r="K100" i="124"/>
  <c r="K112" i="124"/>
  <c r="K97" i="124"/>
  <c r="F108" i="124"/>
  <c r="K94" i="124"/>
  <c r="K96" i="124"/>
  <c r="I113" i="124"/>
  <c r="K113" i="124" s="1"/>
  <c r="F115" i="124"/>
  <c r="F111" i="124"/>
  <c r="K93" i="124"/>
  <c r="E95" i="120"/>
  <c r="E141" i="120" s="1"/>
  <c r="E96" i="120"/>
  <c r="E142" i="120" s="1"/>
  <c r="F98" i="120"/>
  <c r="F144" i="120" s="1"/>
  <c r="E94" i="120"/>
  <c r="E140" i="120" s="1"/>
  <c r="F95" i="120"/>
  <c r="F141" i="120" s="1"/>
  <c r="E93" i="120"/>
  <c r="E139" i="120" s="1"/>
  <c r="E112" i="120"/>
  <c r="E110" i="120"/>
  <c r="E109" i="120"/>
  <c r="D147" i="120"/>
  <c r="F101" i="120"/>
  <c r="F147" i="120" s="1"/>
  <c r="D142" i="120"/>
  <c r="F96" i="120"/>
  <c r="F142" i="120" s="1"/>
  <c r="D146" i="120"/>
  <c r="F100" i="120"/>
  <c r="F146" i="120" s="1"/>
  <c r="D140" i="120"/>
  <c r="F94" i="120"/>
  <c r="F140" i="120" s="1"/>
  <c r="E102" i="120"/>
  <c r="E148" i="120" s="1"/>
  <c r="D148" i="120"/>
  <c r="F102" i="120"/>
  <c r="F148" i="120" s="1"/>
  <c r="D143" i="120"/>
  <c r="F97" i="120"/>
  <c r="F143" i="120" s="1"/>
  <c r="D145" i="120"/>
  <c r="F99" i="120"/>
  <c r="F145" i="120" s="1"/>
  <c r="D139" i="120"/>
  <c r="F93" i="120"/>
  <c r="F114" i="124" l="1"/>
  <c r="F109" i="124"/>
  <c r="F108" i="125"/>
  <c r="F109" i="125"/>
  <c r="K112" i="125"/>
  <c r="E125" i="120"/>
  <c r="F112" i="125"/>
  <c r="F114" i="125"/>
  <c r="M112" i="125" s="1"/>
  <c r="F116" i="125"/>
  <c r="M110" i="125" s="1"/>
  <c r="F116" i="124"/>
  <c r="M112" i="124" s="1"/>
  <c r="E124" i="120"/>
  <c r="J112" i="120" s="1"/>
  <c r="E126" i="120"/>
  <c r="F139" i="120"/>
  <c r="J100" i="120"/>
  <c r="J97" i="120"/>
  <c r="J94" i="120"/>
  <c r="J92" i="120"/>
  <c r="J99" i="120"/>
  <c r="J98" i="120"/>
  <c r="J96" i="120"/>
  <c r="J95" i="120"/>
  <c r="J93" i="120"/>
  <c r="I111" i="120" l="1"/>
  <c r="E127" i="120"/>
  <c r="E129" i="120" s="1"/>
  <c r="J111" i="120" s="1"/>
  <c r="I110" i="120" s="1"/>
  <c r="J110" i="120" s="1"/>
  <c r="K110" i="120" s="1"/>
  <c r="M111" i="125"/>
  <c r="M113" i="125"/>
  <c r="M110" i="124"/>
  <c r="M113" i="124"/>
  <c r="M111" i="124"/>
  <c r="J101" i="120"/>
  <c r="K101" i="120" s="1"/>
  <c r="I112" i="120" l="1"/>
  <c r="J113" i="120" s="1"/>
  <c r="M116" i="125"/>
  <c r="K111" i="120"/>
  <c r="F117" i="120"/>
  <c r="K112" i="120"/>
  <c r="F115" i="120"/>
  <c r="F113" i="120"/>
  <c r="F112" i="120"/>
  <c r="M116" i="124"/>
  <c r="K93" i="120"/>
  <c r="K92" i="120"/>
  <c r="F114" i="120"/>
  <c r="K98" i="120"/>
  <c r="K96" i="120"/>
  <c r="K95" i="120"/>
  <c r="K100" i="120"/>
  <c r="I113" i="120"/>
  <c r="F116" i="120" s="1"/>
  <c r="F108" i="120"/>
  <c r="F110" i="120"/>
  <c r="F111" i="120"/>
  <c r="K99" i="120"/>
  <c r="K97" i="120"/>
  <c r="K94" i="120"/>
  <c r="E24" i="95"/>
  <c r="F109" i="120" l="1"/>
  <c r="K113" i="120"/>
  <c r="M112" i="120"/>
  <c r="M113" i="120"/>
  <c r="M111" i="120"/>
  <c r="M110" i="120"/>
  <c r="M116" i="120" l="1"/>
  <c r="A12" i="95" l="1"/>
  <c r="B23" i="95"/>
  <c r="B22" i="95"/>
  <c r="B21" i="95"/>
  <c r="B20" i="95"/>
  <c r="B19" i="95"/>
  <c r="B18" i="95"/>
  <c r="B17" i="95"/>
  <c r="B16" i="95"/>
  <c r="B15" i="95"/>
  <c r="B14" i="95"/>
  <c r="B13" i="95"/>
  <c r="L13" i="95" l="1"/>
  <c r="L14" i="95"/>
  <c r="L15" i="95"/>
  <c r="L16" i="95"/>
  <c r="L17" i="95"/>
  <c r="L18" i="95"/>
  <c r="L19" i="95"/>
  <c r="L20" i="95"/>
  <c r="L21" i="95"/>
  <c r="L22" i="95"/>
  <c r="L23" i="95"/>
  <c r="K104" i="55" l="1"/>
  <c r="J104" i="55"/>
  <c r="I104" i="55"/>
  <c r="Q103" i="55"/>
  <c r="P103" i="55"/>
  <c r="N103" i="55"/>
  <c r="K103" i="55"/>
  <c r="J103" i="55"/>
  <c r="I103" i="55"/>
  <c r="K98" i="55"/>
  <c r="J98" i="55"/>
  <c r="I98" i="55"/>
  <c r="Q97" i="55"/>
  <c r="P97" i="55"/>
  <c r="N97" i="55"/>
  <c r="K97" i="55"/>
  <c r="J97" i="55"/>
  <c r="I97" i="55"/>
  <c r="D96" i="55"/>
  <c r="S93" i="55"/>
  <c r="S98" i="55" s="1"/>
  <c r="T98" i="55" s="1"/>
  <c r="K44" i="55"/>
  <c r="H44" i="55"/>
  <c r="E44" i="55"/>
  <c r="K43" i="55"/>
  <c r="H43" i="55"/>
  <c r="E43" i="55"/>
  <c r="K42" i="55"/>
  <c r="H42" i="55"/>
  <c r="E42" i="55"/>
  <c r="K41" i="55"/>
  <c r="H41" i="55"/>
  <c r="E41" i="55"/>
  <c r="K40" i="55"/>
  <c r="H40" i="55"/>
  <c r="E40" i="55"/>
  <c r="K39" i="55"/>
  <c r="H39" i="55"/>
  <c r="E39" i="55"/>
  <c r="K38" i="55"/>
  <c r="H38" i="55"/>
  <c r="E38" i="55"/>
  <c r="L36" i="55"/>
  <c r="I36" i="55"/>
  <c r="F36" i="55"/>
  <c r="Q29" i="55"/>
  <c r="N29" i="55"/>
  <c r="K29" i="55"/>
  <c r="H29" i="55"/>
  <c r="E29" i="55"/>
  <c r="Q28" i="55"/>
  <c r="N28" i="55"/>
  <c r="K28" i="55"/>
  <c r="H28" i="55"/>
  <c r="E28" i="55"/>
  <c r="Q27" i="55"/>
  <c r="N27" i="55"/>
  <c r="K27" i="55"/>
  <c r="H27" i="55"/>
  <c r="E27" i="55"/>
  <c r="Q26" i="55"/>
  <c r="N26" i="55"/>
  <c r="K26" i="55"/>
  <c r="H26" i="55"/>
  <c r="E26" i="55"/>
  <c r="Q25" i="55"/>
  <c r="N25" i="55"/>
  <c r="K25" i="55"/>
  <c r="H25" i="55"/>
  <c r="E25" i="55"/>
  <c r="Q24" i="55"/>
  <c r="N24" i="55"/>
  <c r="K24" i="55"/>
  <c r="H24" i="55"/>
  <c r="E24" i="55"/>
  <c r="Q23" i="55"/>
  <c r="N23" i="55"/>
  <c r="K23" i="55"/>
  <c r="H23" i="55"/>
  <c r="E23" i="55"/>
  <c r="H22" i="55"/>
  <c r="R21" i="55"/>
  <c r="O21" i="55"/>
  <c r="L21" i="55"/>
  <c r="I21" i="55"/>
  <c r="F21" i="55"/>
  <c r="Q15" i="55"/>
  <c r="N15" i="55"/>
  <c r="K15" i="55"/>
  <c r="H15" i="55"/>
  <c r="E15" i="55"/>
  <c r="Q14" i="55"/>
  <c r="N14" i="55"/>
  <c r="K14" i="55"/>
  <c r="H14" i="55"/>
  <c r="E14" i="55"/>
  <c r="Q13" i="55"/>
  <c r="N13" i="55"/>
  <c r="K13" i="55"/>
  <c r="H13" i="55"/>
  <c r="E13" i="55"/>
  <c r="Q12" i="55"/>
  <c r="N12" i="55"/>
  <c r="K12" i="55"/>
  <c r="H12" i="55"/>
  <c r="E12" i="55"/>
  <c r="Q11" i="55"/>
  <c r="N11" i="55"/>
  <c r="H11" i="55"/>
  <c r="E11" i="55"/>
  <c r="Q10" i="55"/>
  <c r="K10" i="55"/>
  <c r="H10" i="55"/>
  <c r="E10" i="55"/>
  <c r="Q9" i="55"/>
  <c r="N9" i="55"/>
  <c r="K9" i="55"/>
  <c r="H9" i="55"/>
  <c r="E9" i="55"/>
  <c r="K8" i="55"/>
  <c r="R7" i="55"/>
  <c r="O7" i="55"/>
  <c r="L7" i="55"/>
  <c r="I7" i="55"/>
  <c r="F7" i="55"/>
  <c r="E96" i="55" l="1"/>
  <c r="S94" i="55"/>
  <c r="T94" i="55" s="1"/>
  <c r="J31" i="55"/>
  <c r="L26" i="55" s="1"/>
  <c r="G46" i="55"/>
  <c r="J45" i="55"/>
  <c r="D98" i="55"/>
  <c r="G30" i="55"/>
  <c r="P31" i="55"/>
  <c r="D45" i="55"/>
  <c r="D31" i="55"/>
  <c r="F24" i="55" s="1"/>
  <c r="M31" i="55"/>
  <c r="O24" i="55" s="1"/>
  <c r="K37" i="55"/>
  <c r="M17" i="55"/>
  <c r="L22" i="55"/>
  <c r="L23" i="55"/>
  <c r="D102" i="55"/>
  <c r="D103" i="55"/>
  <c r="H8" i="55"/>
  <c r="G17" i="55"/>
  <c r="G16" i="55"/>
  <c r="K11" i="55"/>
  <c r="D100" i="55" s="1"/>
  <c r="J17" i="55"/>
  <c r="J16" i="55"/>
  <c r="P16" i="55"/>
  <c r="D101" i="55"/>
  <c r="D104" i="55"/>
  <c r="N10" i="55"/>
  <c r="D99" i="55" s="1"/>
  <c r="M16" i="55"/>
  <c r="D16" i="55"/>
  <c r="E8" i="55"/>
  <c r="Q8" i="55"/>
  <c r="D17" i="55"/>
  <c r="P17" i="55"/>
  <c r="N22" i="55"/>
  <c r="J30" i="55"/>
  <c r="G31" i="55"/>
  <c r="E37" i="55"/>
  <c r="G45" i="55"/>
  <c r="J46" i="55"/>
  <c r="S97" i="55"/>
  <c r="T97" i="55" s="1"/>
  <c r="Q102" i="55" s="1"/>
  <c r="N8" i="55"/>
  <c r="K22" i="55"/>
  <c r="M30" i="55"/>
  <c r="S95" i="55"/>
  <c r="T95" i="55" s="1"/>
  <c r="S96" i="55"/>
  <c r="T96" i="55" s="1"/>
  <c r="S101" i="55"/>
  <c r="T101" i="55" s="1"/>
  <c r="D30" i="55"/>
  <c r="P30" i="55"/>
  <c r="D46" i="55"/>
  <c r="T93" i="55"/>
  <c r="S99" i="55"/>
  <c r="T99" i="55" s="1"/>
  <c r="S100" i="55"/>
  <c r="T100" i="55" s="1"/>
  <c r="E22" i="55"/>
  <c r="Q22" i="55"/>
  <c r="H37" i="55"/>
  <c r="K104" i="52"/>
  <c r="J104" i="52"/>
  <c r="I104" i="52"/>
  <c r="Q103" i="52"/>
  <c r="P103" i="52"/>
  <c r="N103" i="52"/>
  <c r="K103" i="52"/>
  <c r="J103" i="52"/>
  <c r="I103" i="52"/>
  <c r="Q102" i="52"/>
  <c r="Q98" i="52"/>
  <c r="K98" i="52"/>
  <c r="J98" i="52"/>
  <c r="I98" i="52"/>
  <c r="Q97" i="52"/>
  <c r="P97" i="52"/>
  <c r="N97" i="52"/>
  <c r="K97" i="52"/>
  <c r="J97" i="52"/>
  <c r="I97" i="52"/>
  <c r="D96" i="52"/>
  <c r="S93" i="52"/>
  <c r="S98" i="52" s="1"/>
  <c r="T98" i="52" s="1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L36" i="52"/>
  <c r="I36" i="52"/>
  <c r="F36" i="52"/>
  <c r="Q29" i="52"/>
  <c r="N29" i="52"/>
  <c r="K29" i="52"/>
  <c r="H29" i="52"/>
  <c r="E29" i="52"/>
  <c r="Q28" i="52"/>
  <c r="N28" i="52"/>
  <c r="K28" i="52"/>
  <c r="H28" i="52"/>
  <c r="E28" i="52"/>
  <c r="Q27" i="52"/>
  <c r="N27" i="52"/>
  <c r="K27" i="52"/>
  <c r="H27" i="52"/>
  <c r="E27" i="52"/>
  <c r="Q26" i="52"/>
  <c r="N26" i="52"/>
  <c r="K26" i="52"/>
  <c r="H26" i="52"/>
  <c r="E26" i="52"/>
  <c r="Q25" i="52"/>
  <c r="N25" i="52"/>
  <c r="K25" i="52"/>
  <c r="H25" i="52"/>
  <c r="E25" i="52"/>
  <c r="Q24" i="52"/>
  <c r="N24" i="52"/>
  <c r="K24" i="52"/>
  <c r="H24" i="52"/>
  <c r="E24" i="52"/>
  <c r="Q23" i="52"/>
  <c r="N23" i="52"/>
  <c r="K23" i="52"/>
  <c r="H23" i="52"/>
  <c r="E23" i="52"/>
  <c r="N22" i="52"/>
  <c r="R21" i="52"/>
  <c r="O21" i="52"/>
  <c r="L21" i="52"/>
  <c r="I21" i="52"/>
  <c r="F21" i="52"/>
  <c r="Q15" i="52"/>
  <c r="N15" i="52"/>
  <c r="K15" i="52"/>
  <c r="H15" i="52"/>
  <c r="E15" i="52"/>
  <c r="Q14" i="52"/>
  <c r="N14" i="52"/>
  <c r="K14" i="52"/>
  <c r="H14" i="52"/>
  <c r="E14" i="52"/>
  <c r="Q13" i="52"/>
  <c r="N13" i="52"/>
  <c r="K13" i="52"/>
  <c r="H13" i="52"/>
  <c r="E13" i="52"/>
  <c r="Q12" i="52"/>
  <c r="N12" i="52"/>
  <c r="K12" i="52"/>
  <c r="H12" i="52"/>
  <c r="E12" i="52"/>
  <c r="Q11" i="52"/>
  <c r="N11" i="52"/>
  <c r="K11" i="52"/>
  <c r="H11" i="52"/>
  <c r="E11" i="52"/>
  <c r="Q10" i="52"/>
  <c r="N10" i="52"/>
  <c r="K10" i="52"/>
  <c r="H10" i="52"/>
  <c r="E10" i="52"/>
  <c r="Q9" i="52"/>
  <c r="N9" i="52"/>
  <c r="K9" i="52"/>
  <c r="H9" i="52"/>
  <c r="E9" i="52"/>
  <c r="N8" i="52"/>
  <c r="K8" i="52"/>
  <c r="R7" i="52"/>
  <c r="O7" i="52"/>
  <c r="L7" i="52"/>
  <c r="I7" i="52"/>
  <c r="F7" i="52"/>
  <c r="R28" i="55" l="1"/>
  <c r="O27" i="55"/>
  <c r="O28" i="55"/>
  <c r="I40" i="55"/>
  <c r="L25" i="55"/>
  <c r="L24" i="55"/>
  <c r="O29" i="55"/>
  <c r="F26" i="55"/>
  <c r="O26" i="55"/>
  <c r="T93" i="52"/>
  <c r="K102" i="55"/>
  <c r="Q101" i="55"/>
  <c r="K101" i="55"/>
  <c r="Q100" i="55"/>
  <c r="K100" i="55"/>
  <c r="Q99" i="55"/>
  <c r="K99" i="55"/>
  <c r="Q98" i="55"/>
  <c r="O23" i="55"/>
  <c r="O25" i="55"/>
  <c r="L27" i="55"/>
  <c r="L29" i="55"/>
  <c r="O22" i="55"/>
  <c r="L28" i="55"/>
  <c r="F28" i="55"/>
  <c r="D45" i="52"/>
  <c r="F23" i="55"/>
  <c r="F29" i="55"/>
  <c r="P16" i="52"/>
  <c r="D31" i="52"/>
  <c r="F27" i="52" s="1"/>
  <c r="F25" i="55"/>
  <c r="F27" i="55"/>
  <c r="J31" i="52"/>
  <c r="L29" i="52" s="1"/>
  <c r="G46" i="52"/>
  <c r="F22" i="55"/>
  <c r="D99" i="52"/>
  <c r="D103" i="52"/>
  <c r="M31" i="52"/>
  <c r="O27" i="52" s="1"/>
  <c r="J45" i="52"/>
  <c r="Q8" i="52"/>
  <c r="D102" i="52"/>
  <c r="D104" i="52"/>
  <c r="G30" i="52"/>
  <c r="P31" i="52"/>
  <c r="E37" i="52"/>
  <c r="L41" i="55"/>
  <c r="L37" i="55"/>
  <c r="L44" i="55"/>
  <c r="L40" i="55"/>
  <c r="L43" i="55"/>
  <c r="L39" i="55"/>
  <c r="L42" i="55"/>
  <c r="L38" i="55"/>
  <c r="R25" i="55"/>
  <c r="R23" i="55"/>
  <c r="I42" i="55"/>
  <c r="I44" i="55"/>
  <c r="D97" i="55"/>
  <c r="R29" i="55"/>
  <c r="R27" i="55"/>
  <c r="I37" i="55"/>
  <c r="I39" i="55"/>
  <c r="F43" i="55"/>
  <c r="F39" i="55"/>
  <c r="F42" i="55"/>
  <c r="F38" i="55"/>
  <c r="F41" i="55"/>
  <c r="F37" i="55"/>
  <c r="F44" i="55"/>
  <c r="F40" i="55"/>
  <c r="R14" i="55"/>
  <c r="R10" i="55"/>
  <c r="R15" i="55"/>
  <c r="R12" i="55"/>
  <c r="R8" i="55"/>
  <c r="R13" i="55"/>
  <c r="R9" i="55"/>
  <c r="R11" i="55"/>
  <c r="R22" i="55"/>
  <c r="R24" i="55"/>
  <c r="I13" i="55"/>
  <c r="I9" i="55"/>
  <c r="I15" i="55"/>
  <c r="I11" i="55"/>
  <c r="I12" i="55"/>
  <c r="I8" i="55"/>
  <c r="I14" i="55"/>
  <c r="I10" i="55"/>
  <c r="I41" i="55"/>
  <c r="I43" i="55"/>
  <c r="O15" i="55"/>
  <c r="O11" i="55"/>
  <c r="O13" i="55"/>
  <c r="O9" i="55"/>
  <c r="O14" i="55"/>
  <c r="O10" i="55"/>
  <c r="O12" i="55"/>
  <c r="O8" i="55"/>
  <c r="I26" i="55"/>
  <c r="I22" i="55"/>
  <c r="I27" i="55"/>
  <c r="I23" i="55"/>
  <c r="I28" i="55"/>
  <c r="I24" i="55"/>
  <c r="I29" i="55"/>
  <c r="I25" i="55"/>
  <c r="F14" i="55"/>
  <c r="F10" i="55"/>
  <c r="F12" i="55"/>
  <c r="F8" i="55"/>
  <c r="F15" i="55"/>
  <c r="F13" i="55"/>
  <c r="F9" i="55"/>
  <c r="F11" i="55"/>
  <c r="R26" i="55"/>
  <c r="L12" i="55"/>
  <c r="L8" i="55"/>
  <c r="L13" i="55"/>
  <c r="L14" i="55"/>
  <c r="L10" i="55"/>
  <c r="L15" i="55"/>
  <c r="L11" i="55"/>
  <c r="L9" i="55"/>
  <c r="I38" i="55"/>
  <c r="D16" i="52"/>
  <c r="D17" i="52"/>
  <c r="E8" i="52"/>
  <c r="J17" i="52"/>
  <c r="J16" i="52"/>
  <c r="D98" i="52"/>
  <c r="D101" i="52"/>
  <c r="L25" i="52"/>
  <c r="L26" i="52"/>
  <c r="L22" i="52"/>
  <c r="L23" i="52"/>
  <c r="L28" i="52"/>
  <c r="L24" i="52"/>
  <c r="D100" i="52"/>
  <c r="E96" i="52"/>
  <c r="H8" i="52"/>
  <c r="G17" i="52"/>
  <c r="G16" i="52"/>
  <c r="M17" i="52"/>
  <c r="M16" i="52"/>
  <c r="F22" i="52"/>
  <c r="P17" i="52"/>
  <c r="J30" i="52"/>
  <c r="G31" i="52"/>
  <c r="G45" i="52"/>
  <c r="I43" i="52" s="1"/>
  <c r="J46" i="52"/>
  <c r="S97" i="52"/>
  <c r="T97" i="52" s="1"/>
  <c r="K22" i="52"/>
  <c r="M30" i="52"/>
  <c r="S95" i="52"/>
  <c r="T95" i="52" s="1"/>
  <c r="S96" i="52"/>
  <c r="T96" i="52" s="1"/>
  <c r="K102" i="52" s="1"/>
  <c r="S101" i="52"/>
  <c r="T101" i="52" s="1"/>
  <c r="H22" i="52"/>
  <c r="D30" i="52"/>
  <c r="P30" i="52"/>
  <c r="R28" i="52" s="1"/>
  <c r="D46" i="52"/>
  <c r="S99" i="52"/>
  <c r="T99" i="52" s="1"/>
  <c r="S100" i="52"/>
  <c r="T100" i="52" s="1"/>
  <c r="E22" i="52"/>
  <c r="Q22" i="52"/>
  <c r="H37" i="52"/>
  <c r="S94" i="52"/>
  <c r="T94" i="52" s="1"/>
  <c r="O25" i="52" l="1"/>
  <c r="F26" i="52"/>
  <c r="O26" i="52"/>
  <c r="O22" i="52"/>
  <c r="F25" i="52"/>
  <c r="F24" i="52"/>
  <c r="F28" i="52"/>
  <c r="O28" i="52"/>
  <c r="F23" i="52"/>
  <c r="F29" i="52"/>
  <c r="O29" i="52"/>
  <c r="O24" i="52"/>
  <c r="O23" i="52"/>
  <c r="L27" i="52"/>
  <c r="Q100" i="52"/>
  <c r="K100" i="52"/>
  <c r="Q101" i="52"/>
  <c r="K101" i="52"/>
  <c r="Q99" i="52"/>
  <c r="K99" i="52"/>
  <c r="R23" i="52"/>
  <c r="R25" i="52"/>
  <c r="E97" i="55"/>
  <c r="I38" i="52"/>
  <c r="I40" i="52"/>
  <c r="E100" i="55"/>
  <c r="D107" i="55"/>
  <c r="D108" i="55"/>
  <c r="D106" i="55"/>
  <c r="E98" i="55"/>
  <c r="E101" i="55"/>
  <c r="E102" i="55"/>
  <c r="E99" i="55"/>
  <c r="E104" i="55"/>
  <c r="E103" i="55"/>
  <c r="L41" i="52"/>
  <c r="L37" i="52"/>
  <c r="L44" i="52"/>
  <c r="L40" i="52"/>
  <c r="L43" i="52"/>
  <c r="L39" i="52"/>
  <c r="L42" i="52"/>
  <c r="L38" i="52"/>
  <c r="R14" i="52"/>
  <c r="R10" i="52"/>
  <c r="R15" i="52"/>
  <c r="R11" i="52"/>
  <c r="R12" i="52"/>
  <c r="R13" i="52"/>
  <c r="R9" i="52"/>
  <c r="R8" i="52"/>
  <c r="R29" i="52"/>
  <c r="R27" i="52"/>
  <c r="I13" i="52"/>
  <c r="I9" i="52"/>
  <c r="I14" i="52"/>
  <c r="I15" i="52"/>
  <c r="I12" i="52"/>
  <c r="I11" i="52"/>
  <c r="I10" i="52"/>
  <c r="I8" i="52"/>
  <c r="I42" i="52"/>
  <c r="I44" i="52"/>
  <c r="L12" i="52"/>
  <c r="L8" i="52"/>
  <c r="L13" i="52"/>
  <c r="L14" i="52"/>
  <c r="L15" i="52"/>
  <c r="L9" i="52"/>
  <c r="L11" i="52"/>
  <c r="L10" i="52"/>
  <c r="F43" i="52"/>
  <c r="F39" i="52"/>
  <c r="F42" i="52"/>
  <c r="F38" i="52"/>
  <c r="F41" i="52"/>
  <c r="F37" i="52"/>
  <c r="F44" i="52"/>
  <c r="F40" i="52"/>
  <c r="R22" i="52"/>
  <c r="R24" i="52"/>
  <c r="I37" i="52"/>
  <c r="I39" i="52"/>
  <c r="D97" i="52"/>
  <c r="I26" i="52"/>
  <c r="I22" i="52"/>
  <c r="I27" i="52"/>
  <c r="I23" i="52"/>
  <c r="I28" i="52"/>
  <c r="I24" i="52"/>
  <c r="I29" i="52"/>
  <c r="I25" i="52"/>
  <c r="R26" i="52"/>
  <c r="O15" i="52"/>
  <c r="O11" i="52"/>
  <c r="O12" i="52"/>
  <c r="O13" i="52"/>
  <c r="O14" i="52"/>
  <c r="O10" i="52"/>
  <c r="O9" i="52"/>
  <c r="O8" i="52"/>
  <c r="I41" i="52"/>
  <c r="F14" i="52"/>
  <c r="F10" i="52"/>
  <c r="F15" i="52"/>
  <c r="F12" i="52"/>
  <c r="F13" i="52"/>
  <c r="F11" i="52"/>
  <c r="F9" i="52"/>
  <c r="F8" i="52"/>
  <c r="E101" i="52" l="1"/>
  <c r="E102" i="52"/>
  <c r="E103" i="52"/>
  <c r="E106" i="55"/>
  <c r="O100" i="55" s="1"/>
  <c r="E107" i="55"/>
  <c r="I100" i="55"/>
  <c r="E108" i="55"/>
  <c r="E98" i="52"/>
  <c r="E97" i="52"/>
  <c r="E104" i="52"/>
  <c r="E100" i="52"/>
  <c r="E99" i="52"/>
  <c r="D107" i="52"/>
  <c r="D108" i="52"/>
  <c r="D106" i="52"/>
  <c r="E109" i="55" l="1"/>
  <c r="E111" i="55" s="1"/>
  <c r="P100" i="55" s="1"/>
  <c r="N99" i="55" s="1"/>
  <c r="P99" i="55" s="1"/>
  <c r="N98" i="55" s="1"/>
  <c r="M104" i="55"/>
  <c r="M97" i="55"/>
  <c r="M103" i="55"/>
  <c r="J100" i="55"/>
  <c r="N100" i="55"/>
  <c r="P101" i="55" s="1"/>
  <c r="N101" i="55" s="1"/>
  <c r="P102" i="55" s="1"/>
  <c r="N102" i="55" s="1"/>
  <c r="I99" i="55"/>
  <c r="J99" i="55" s="1"/>
  <c r="F103" i="55"/>
  <c r="J101" i="55"/>
  <c r="E107" i="52"/>
  <c r="E108" i="52"/>
  <c r="E106" i="52"/>
  <c r="I100" i="52" s="1"/>
  <c r="J101" i="52" s="1"/>
  <c r="E109" i="52" l="1"/>
  <c r="E111" i="52" s="1"/>
  <c r="P98" i="55"/>
  <c r="M98" i="55" s="1"/>
  <c r="G97" i="55"/>
  <c r="G98" i="55"/>
  <c r="G99" i="55"/>
  <c r="G104" i="55"/>
  <c r="G102" i="55"/>
  <c r="G100" i="55"/>
  <c r="G103" i="55"/>
  <c r="G101" i="55"/>
  <c r="M100" i="55"/>
  <c r="M99" i="55"/>
  <c r="I101" i="55"/>
  <c r="M101" i="55" s="1"/>
  <c r="F99" i="55"/>
  <c r="F104" i="55"/>
  <c r="F101" i="55"/>
  <c r="J100" i="52"/>
  <c r="I99" i="52" s="1"/>
  <c r="I101" i="52"/>
  <c r="J102" i="52" s="1"/>
  <c r="I102" i="52" s="1"/>
  <c r="P100" i="52"/>
  <c r="N99" i="52" s="1"/>
  <c r="P99" i="52" s="1"/>
  <c r="N98" i="52" s="1"/>
  <c r="P98" i="52" s="1"/>
  <c r="O100" i="52"/>
  <c r="N100" i="52"/>
  <c r="P101" i="52" s="1"/>
  <c r="N101" i="52" s="1"/>
  <c r="P102" i="52" s="1"/>
  <c r="N102" i="52" s="1"/>
  <c r="R100" i="55" l="1"/>
  <c r="R103" i="55"/>
  <c r="R99" i="55"/>
  <c r="R98" i="55"/>
  <c r="R102" i="55"/>
  <c r="R97" i="55"/>
  <c r="R101" i="55"/>
  <c r="F102" i="55"/>
  <c r="J102" i="55"/>
  <c r="J99" i="52"/>
  <c r="M99" i="52" s="1"/>
  <c r="F104" i="52"/>
  <c r="F100" i="52"/>
  <c r="F101" i="52"/>
  <c r="F97" i="52"/>
  <c r="F102" i="52"/>
  <c r="F103" i="52"/>
  <c r="F98" i="52"/>
  <c r="F99" i="52"/>
  <c r="G103" i="52"/>
  <c r="M102" i="52"/>
  <c r="G101" i="52"/>
  <c r="G100" i="52"/>
  <c r="M97" i="52"/>
  <c r="G102" i="52"/>
  <c r="M98" i="52"/>
  <c r="G97" i="52"/>
  <c r="R97" i="52" s="1"/>
  <c r="M104" i="52"/>
  <c r="G98" i="52"/>
  <c r="G104" i="52"/>
  <c r="M103" i="52"/>
  <c r="M101" i="52"/>
  <c r="M100" i="52"/>
  <c r="G99" i="52"/>
  <c r="R99" i="52" s="1"/>
  <c r="R104" i="55" l="1"/>
  <c r="L99" i="52"/>
  <c r="L98" i="52"/>
  <c r="L103" i="52"/>
  <c r="L102" i="52"/>
  <c r="I102" i="55"/>
  <c r="M102" i="55"/>
  <c r="L101" i="52"/>
  <c r="L100" i="52"/>
  <c r="L104" i="52"/>
  <c r="L97" i="52"/>
  <c r="R98" i="52"/>
  <c r="R101" i="52"/>
  <c r="R100" i="52"/>
  <c r="R102" i="52"/>
  <c r="R103" i="52"/>
  <c r="L105" i="52" l="1"/>
  <c r="F97" i="55"/>
  <c r="F100" i="55"/>
  <c r="L100" i="55" s="1"/>
  <c r="F98" i="55"/>
  <c r="L98" i="55" s="1"/>
  <c r="R104" i="52"/>
  <c r="L97" i="55" l="1"/>
  <c r="L103" i="55"/>
  <c r="L99" i="55"/>
  <c r="L101" i="55"/>
  <c r="L104" i="55"/>
  <c r="L102" i="55"/>
  <c r="L105" i="55" l="1"/>
  <c r="C10" i="50" l="1"/>
  <c r="L104" i="46" l="1"/>
  <c r="K104" i="46"/>
  <c r="J104" i="46"/>
  <c r="I104" i="46"/>
  <c r="Q103" i="46"/>
  <c r="P103" i="46"/>
  <c r="N103" i="46"/>
  <c r="K103" i="46"/>
  <c r="J103" i="46"/>
  <c r="I103" i="46"/>
  <c r="Q102" i="46"/>
  <c r="P102" i="46"/>
  <c r="N102" i="46"/>
  <c r="K102" i="46"/>
  <c r="J102" i="46"/>
  <c r="I102" i="46"/>
  <c r="K101" i="46"/>
  <c r="J101" i="46"/>
  <c r="I101" i="46"/>
  <c r="K100" i="46"/>
  <c r="J100" i="46"/>
  <c r="I100" i="46"/>
  <c r="F104" i="46" s="1"/>
  <c r="K99" i="46"/>
  <c r="J99" i="46"/>
  <c r="I99" i="46"/>
  <c r="Q98" i="46"/>
  <c r="P98" i="46"/>
  <c r="N98" i="46"/>
  <c r="K98" i="46"/>
  <c r="J98" i="46"/>
  <c r="I98" i="46"/>
  <c r="Q97" i="46"/>
  <c r="P97" i="46"/>
  <c r="N97" i="46"/>
  <c r="K97" i="46"/>
  <c r="J97" i="46"/>
  <c r="I97" i="46"/>
  <c r="D96" i="46"/>
  <c r="S93" i="46"/>
  <c r="S98" i="46" s="1"/>
  <c r="T98" i="46" s="1"/>
  <c r="K44" i="46"/>
  <c r="H44" i="46"/>
  <c r="E44" i="46"/>
  <c r="K43" i="46"/>
  <c r="H43" i="46"/>
  <c r="E43" i="46"/>
  <c r="K42" i="46"/>
  <c r="H42" i="46"/>
  <c r="E42" i="46"/>
  <c r="K41" i="46"/>
  <c r="H41" i="46"/>
  <c r="E41" i="46"/>
  <c r="K40" i="46"/>
  <c r="H40" i="46"/>
  <c r="E40" i="46"/>
  <c r="K39" i="46"/>
  <c r="H39" i="46"/>
  <c r="E39" i="46"/>
  <c r="K38" i="46"/>
  <c r="H38" i="46"/>
  <c r="E38" i="46"/>
  <c r="K37" i="46"/>
  <c r="L36" i="46"/>
  <c r="I36" i="46"/>
  <c r="F36" i="46"/>
  <c r="Q29" i="46"/>
  <c r="N29" i="46"/>
  <c r="K29" i="46"/>
  <c r="H29" i="46"/>
  <c r="E29" i="46"/>
  <c r="Q28" i="46"/>
  <c r="N28" i="46"/>
  <c r="K28" i="46"/>
  <c r="H28" i="46"/>
  <c r="E28" i="46"/>
  <c r="Q27" i="46"/>
  <c r="N27" i="46"/>
  <c r="K27" i="46"/>
  <c r="H27" i="46"/>
  <c r="E27" i="46"/>
  <c r="Q26" i="46"/>
  <c r="N26" i="46"/>
  <c r="K26" i="46"/>
  <c r="H26" i="46"/>
  <c r="E26" i="46"/>
  <c r="Q25" i="46"/>
  <c r="N25" i="46"/>
  <c r="K25" i="46"/>
  <c r="H25" i="46"/>
  <c r="E25" i="46"/>
  <c r="Q24" i="46"/>
  <c r="N24" i="46"/>
  <c r="K24" i="46"/>
  <c r="H24" i="46"/>
  <c r="E24" i="46"/>
  <c r="Q23" i="46"/>
  <c r="N23" i="46"/>
  <c r="K23" i="46"/>
  <c r="H23" i="46"/>
  <c r="E23" i="46"/>
  <c r="R21" i="46"/>
  <c r="O21" i="46"/>
  <c r="L21" i="46"/>
  <c r="I21" i="46"/>
  <c r="F21" i="46"/>
  <c r="Q15" i="46"/>
  <c r="N15" i="46"/>
  <c r="K15" i="46"/>
  <c r="H15" i="46"/>
  <c r="E15" i="46"/>
  <c r="Q14" i="46"/>
  <c r="N14" i="46"/>
  <c r="K14" i="46"/>
  <c r="H14" i="46"/>
  <c r="E14" i="46"/>
  <c r="Q13" i="46"/>
  <c r="N13" i="46"/>
  <c r="K13" i="46"/>
  <c r="H13" i="46"/>
  <c r="E13" i="46"/>
  <c r="Q12" i="46"/>
  <c r="N12" i="46"/>
  <c r="K12" i="46"/>
  <c r="H12" i="46"/>
  <c r="E12" i="46"/>
  <c r="Q11" i="46"/>
  <c r="N11" i="46"/>
  <c r="K11" i="46"/>
  <c r="H11" i="46"/>
  <c r="E11" i="46"/>
  <c r="Q10" i="46"/>
  <c r="N10" i="46"/>
  <c r="K10" i="46"/>
  <c r="H10" i="46"/>
  <c r="E10" i="46"/>
  <c r="Q9" i="46"/>
  <c r="N9" i="46"/>
  <c r="K9" i="46"/>
  <c r="E9" i="46"/>
  <c r="Q8" i="46"/>
  <c r="K8" i="46"/>
  <c r="R7" i="46"/>
  <c r="O7" i="46"/>
  <c r="L7" i="46"/>
  <c r="I7" i="46"/>
  <c r="F7" i="46"/>
  <c r="F98" i="46" l="1"/>
  <c r="L98" i="46" s="1"/>
  <c r="E96" i="46"/>
  <c r="M31" i="46"/>
  <c r="G16" i="46"/>
  <c r="F97" i="46"/>
  <c r="L97" i="46" s="1"/>
  <c r="G31" i="46"/>
  <c r="I27" i="46" s="1"/>
  <c r="J31" i="46"/>
  <c r="D45" i="46"/>
  <c r="D100" i="46"/>
  <c r="D30" i="46"/>
  <c r="P30" i="46"/>
  <c r="G46" i="46"/>
  <c r="H8" i="46"/>
  <c r="D98" i="46"/>
  <c r="H37" i="46"/>
  <c r="F100" i="46"/>
  <c r="L100" i="46" s="1"/>
  <c r="D17" i="46"/>
  <c r="E8" i="46"/>
  <c r="M17" i="46"/>
  <c r="K22" i="46"/>
  <c r="P17" i="46"/>
  <c r="D103" i="46"/>
  <c r="D104" i="46"/>
  <c r="D102" i="46"/>
  <c r="D99" i="46"/>
  <c r="D101" i="46"/>
  <c r="J16" i="46"/>
  <c r="G17" i="46"/>
  <c r="G30" i="46"/>
  <c r="D31" i="46"/>
  <c r="P31" i="46"/>
  <c r="G45" i="46"/>
  <c r="I39" i="46" s="1"/>
  <c r="J46" i="46"/>
  <c r="S97" i="46"/>
  <c r="T97" i="46" s="1"/>
  <c r="N8" i="46"/>
  <c r="M16" i="46"/>
  <c r="J17" i="46"/>
  <c r="H22" i="46"/>
  <c r="J30" i="46"/>
  <c r="L27" i="46" s="1"/>
  <c r="E37" i="46"/>
  <c r="J45" i="46"/>
  <c r="S95" i="46"/>
  <c r="T95" i="46" s="1"/>
  <c r="Q101" i="46" s="1"/>
  <c r="S96" i="46"/>
  <c r="T96" i="46" s="1"/>
  <c r="S101" i="46"/>
  <c r="T101" i="46" s="1"/>
  <c r="F102" i="46"/>
  <c r="L102" i="46" s="1"/>
  <c r="D16" i="46"/>
  <c r="P16" i="46"/>
  <c r="E22" i="46"/>
  <c r="Q22" i="46"/>
  <c r="M30" i="46"/>
  <c r="O29" i="46" s="1"/>
  <c r="D46" i="46"/>
  <c r="T93" i="46"/>
  <c r="Q99" i="46" s="1"/>
  <c r="S99" i="46"/>
  <c r="T99" i="46" s="1"/>
  <c r="S100" i="46"/>
  <c r="T100" i="46" s="1"/>
  <c r="F101" i="46"/>
  <c r="L101" i="46" s="1"/>
  <c r="F103" i="46"/>
  <c r="L103" i="46" s="1"/>
  <c r="N22" i="46"/>
  <c r="S94" i="46"/>
  <c r="T94" i="46" s="1"/>
  <c r="Q100" i="46" s="1"/>
  <c r="F99" i="46"/>
  <c r="L99" i="46" s="1"/>
  <c r="O14" i="46" l="1"/>
  <c r="I22" i="46"/>
  <c r="R13" i="46"/>
  <c r="F14" i="46"/>
  <c r="I28" i="46"/>
  <c r="I26" i="46"/>
  <c r="I25" i="46"/>
  <c r="I23" i="46"/>
  <c r="I24" i="46"/>
  <c r="I29" i="46"/>
  <c r="L105" i="46"/>
  <c r="D97" i="46"/>
  <c r="L15" i="46"/>
  <c r="L11" i="46"/>
  <c r="L8" i="46"/>
  <c r="L12" i="46"/>
  <c r="L9" i="46"/>
  <c r="L13" i="46"/>
  <c r="L10" i="46"/>
  <c r="L14" i="46"/>
  <c r="L41" i="46"/>
  <c r="L44" i="46"/>
  <c r="L40" i="46"/>
  <c r="L43" i="46"/>
  <c r="L39" i="46"/>
  <c r="L42" i="46"/>
  <c r="L38" i="46"/>
  <c r="L37" i="46"/>
  <c r="O22" i="46"/>
  <c r="O23" i="46"/>
  <c r="O13" i="46"/>
  <c r="O15" i="46"/>
  <c r="F11" i="46"/>
  <c r="F9" i="46"/>
  <c r="L22" i="46"/>
  <c r="L23" i="46"/>
  <c r="I37" i="46"/>
  <c r="I43" i="46"/>
  <c r="R12" i="46"/>
  <c r="R10" i="46"/>
  <c r="I12" i="46"/>
  <c r="I13" i="46"/>
  <c r="I14" i="46"/>
  <c r="I10" i="46"/>
  <c r="I11" i="46"/>
  <c r="I15" i="46"/>
  <c r="I9" i="46"/>
  <c r="I8" i="46"/>
  <c r="O24" i="46"/>
  <c r="O26" i="46"/>
  <c r="O12" i="46"/>
  <c r="O9" i="46"/>
  <c r="F15" i="46"/>
  <c r="F13" i="46"/>
  <c r="L24" i="46"/>
  <c r="L26" i="46"/>
  <c r="I38" i="46"/>
  <c r="I40" i="46"/>
  <c r="R11" i="46"/>
  <c r="R14" i="46"/>
  <c r="F43" i="46"/>
  <c r="F39" i="46"/>
  <c r="F42" i="46"/>
  <c r="F38" i="46"/>
  <c r="F37" i="46"/>
  <c r="F41" i="46"/>
  <c r="F44" i="46"/>
  <c r="F40" i="46"/>
  <c r="R28" i="46"/>
  <c r="R24" i="46"/>
  <c r="R22" i="46"/>
  <c r="R29" i="46"/>
  <c r="R25" i="46"/>
  <c r="R26" i="46"/>
  <c r="R27" i="46"/>
  <c r="R23" i="46"/>
  <c r="O28" i="46"/>
  <c r="O25" i="46"/>
  <c r="O8" i="46"/>
  <c r="O10" i="46"/>
  <c r="F12" i="46"/>
  <c r="F10" i="46"/>
  <c r="L25" i="46"/>
  <c r="L28" i="46"/>
  <c r="I42" i="46"/>
  <c r="I44" i="46"/>
  <c r="R15" i="46"/>
  <c r="R9" i="46"/>
  <c r="F28" i="46"/>
  <c r="F24" i="46"/>
  <c r="F22" i="46"/>
  <c r="F29" i="46"/>
  <c r="F25" i="46"/>
  <c r="F23" i="46"/>
  <c r="F26" i="46"/>
  <c r="F27" i="46"/>
  <c r="O27" i="46"/>
  <c r="O11" i="46"/>
  <c r="F8" i="46"/>
  <c r="L29" i="46"/>
  <c r="I41" i="46"/>
  <c r="R8" i="46"/>
  <c r="H9" i="44"/>
  <c r="N11" i="44"/>
  <c r="N10" i="44"/>
  <c r="N12" i="44"/>
  <c r="N13" i="44"/>
  <c r="N8" i="44"/>
  <c r="K13" i="44"/>
  <c r="K11" i="44"/>
  <c r="K25" i="44"/>
  <c r="K26" i="44"/>
  <c r="K27" i="44"/>
  <c r="K29" i="44"/>
  <c r="K22" i="44"/>
  <c r="N25" i="44"/>
  <c r="N27" i="44"/>
  <c r="N29" i="44"/>
  <c r="E40" i="44"/>
  <c r="E41" i="44"/>
  <c r="E42" i="44"/>
  <c r="E25" i="44"/>
  <c r="E27" i="44"/>
  <c r="E28" i="44"/>
  <c r="Q28" i="44"/>
  <c r="Q22" i="44"/>
  <c r="H11" i="44"/>
  <c r="H10" i="44"/>
  <c r="H14" i="44"/>
  <c r="H15" i="44"/>
  <c r="Q9" i="44"/>
  <c r="Q10" i="44"/>
  <c r="Q14" i="44"/>
  <c r="Q15" i="44"/>
  <c r="H23" i="44"/>
  <c r="H24" i="44"/>
  <c r="H25" i="44"/>
  <c r="H27" i="44"/>
  <c r="H28" i="44"/>
  <c r="H29" i="44"/>
  <c r="N15" i="44"/>
  <c r="E12" i="44"/>
  <c r="E11" i="44"/>
  <c r="E10" i="44"/>
  <c r="E15" i="44"/>
  <c r="E14" i="44"/>
  <c r="E13" i="44"/>
  <c r="K9" i="44"/>
  <c r="E9" i="44"/>
  <c r="L104" i="44"/>
  <c r="K104" i="44"/>
  <c r="J104" i="44"/>
  <c r="I104" i="44"/>
  <c r="Q103" i="44"/>
  <c r="P103" i="44"/>
  <c r="N103" i="44"/>
  <c r="K103" i="44"/>
  <c r="J103" i="44"/>
  <c r="I103" i="44"/>
  <c r="Q102" i="44"/>
  <c r="K102" i="44"/>
  <c r="K101" i="44"/>
  <c r="K100" i="44"/>
  <c r="I100" i="44"/>
  <c r="K99" i="44"/>
  <c r="Q98" i="44"/>
  <c r="K98" i="44"/>
  <c r="J98" i="44"/>
  <c r="I98" i="44"/>
  <c r="Q97" i="44"/>
  <c r="P97" i="44"/>
  <c r="N97" i="44"/>
  <c r="K97" i="44"/>
  <c r="J97" i="44"/>
  <c r="I97" i="44"/>
  <c r="D96" i="44"/>
  <c r="S93" i="44"/>
  <c r="S98" i="44" s="1"/>
  <c r="T98" i="44" s="1"/>
  <c r="K44" i="44"/>
  <c r="H44" i="44"/>
  <c r="E44" i="44"/>
  <c r="K43" i="44"/>
  <c r="H43" i="44"/>
  <c r="E43" i="44"/>
  <c r="K42" i="44"/>
  <c r="H42" i="44"/>
  <c r="K41" i="44"/>
  <c r="H41" i="44"/>
  <c r="K40" i="44"/>
  <c r="H40" i="44"/>
  <c r="K39" i="44"/>
  <c r="H39" i="44"/>
  <c r="E39" i="44"/>
  <c r="K38" i="44"/>
  <c r="E38" i="44"/>
  <c r="K37" i="44"/>
  <c r="L36" i="44"/>
  <c r="I36" i="44"/>
  <c r="F36" i="44"/>
  <c r="Q29" i="44"/>
  <c r="E29" i="44"/>
  <c r="N28" i="44"/>
  <c r="K28" i="44"/>
  <c r="Q27" i="44"/>
  <c r="Q26" i="44"/>
  <c r="N26" i="44"/>
  <c r="H26" i="44"/>
  <c r="E26" i="44"/>
  <c r="Q25" i="44"/>
  <c r="Q24" i="44"/>
  <c r="N24" i="44"/>
  <c r="K24" i="44"/>
  <c r="E24" i="44"/>
  <c r="N23" i="44"/>
  <c r="E22" i="44"/>
  <c r="R21" i="44"/>
  <c r="O21" i="44"/>
  <c r="L21" i="44"/>
  <c r="I21" i="44"/>
  <c r="F21" i="44"/>
  <c r="K15" i="44"/>
  <c r="N14" i="44"/>
  <c r="K14" i="44"/>
  <c r="Q13" i="44"/>
  <c r="H13" i="44"/>
  <c r="Q12" i="44"/>
  <c r="K12" i="44"/>
  <c r="H12" i="44"/>
  <c r="Q11" i="44"/>
  <c r="K10" i="44"/>
  <c r="H8" i="44"/>
  <c r="R7" i="44"/>
  <c r="O7" i="44"/>
  <c r="L7" i="44"/>
  <c r="I7" i="44"/>
  <c r="F7" i="44"/>
  <c r="E9" i="42"/>
  <c r="L104" i="42"/>
  <c r="K104" i="42"/>
  <c r="J104" i="42"/>
  <c r="I104" i="42"/>
  <c r="Q103" i="42"/>
  <c r="P103" i="42"/>
  <c r="N103" i="42"/>
  <c r="K103" i="42"/>
  <c r="J103" i="42"/>
  <c r="I103" i="42"/>
  <c r="Q102" i="42"/>
  <c r="P102" i="42"/>
  <c r="N102" i="42"/>
  <c r="K102" i="42"/>
  <c r="J102" i="42"/>
  <c r="I102" i="42"/>
  <c r="K101" i="42"/>
  <c r="J101" i="42"/>
  <c r="I101" i="42"/>
  <c r="K100" i="42"/>
  <c r="J100" i="42"/>
  <c r="I100" i="42"/>
  <c r="F104" i="42" s="1"/>
  <c r="K99" i="42"/>
  <c r="J99" i="42"/>
  <c r="I99" i="42"/>
  <c r="Q98" i="42"/>
  <c r="P98" i="42"/>
  <c r="N98" i="42"/>
  <c r="K98" i="42"/>
  <c r="J98" i="42"/>
  <c r="I98" i="42"/>
  <c r="Q97" i="42"/>
  <c r="P97" i="42"/>
  <c r="N97" i="42"/>
  <c r="K97" i="42"/>
  <c r="J97" i="42"/>
  <c r="I97" i="42"/>
  <c r="D96" i="42"/>
  <c r="S93" i="42"/>
  <c r="S98" i="42" s="1"/>
  <c r="T98" i="42" s="1"/>
  <c r="K44" i="42"/>
  <c r="H44" i="42"/>
  <c r="E44" i="42"/>
  <c r="K43" i="42"/>
  <c r="H43" i="42"/>
  <c r="E43" i="42"/>
  <c r="K42" i="42"/>
  <c r="H42" i="42"/>
  <c r="E42" i="42"/>
  <c r="K41" i="42"/>
  <c r="H41" i="42"/>
  <c r="E41" i="42"/>
  <c r="K40" i="42"/>
  <c r="H40" i="42"/>
  <c r="E40" i="42"/>
  <c r="K39" i="42"/>
  <c r="H39" i="42"/>
  <c r="E39" i="42"/>
  <c r="K38" i="42"/>
  <c r="H38" i="42"/>
  <c r="E38" i="42"/>
  <c r="L36" i="42"/>
  <c r="I36" i="42"/>
  <c r="F36" i="42"/>
  <c r="Q29" i="42"/>
  <c r="N29" i="42"/>
  <c r="K29" i="42"/>
  <c r="H29" i="42"/>
  <c r="E29" i="42"/>
  <c r="Q28" i="42"/>
  <c r="N28" i="42"/>
  <c r="K28" i="42"/>
  <c r="H28" i="42"/>
  <c r="E28" i="42"/>
  <c r="Q27" i="42"/>
  <c r="N27" i="42"/>
  <c r="K27" i="42"/>
  <c r="H27" i="42"/>
  <c r="E27" i="42"/>
  <c r="Q26" i="42"/>
  <c r="N26" i="42"/>
  <c r="K26" i="42"/>
  <c r="H26" i="42"/>
  <c r="E26" i="42"/>
  <c r="Q25" i="42"/>
  <c r="N25" i="42"/>
  <c r="K25" i="42"/>
  <c r="H25" i="42"/>
  <c r="E25" i="42"/>
  <c r="Q24" i="42"/>
  <c r="N24" i="42"/>
  <c r="K24" i="42"/>
  <c r="H24" i="42"/>
  <c r="E24" i="42"/>
  <c r="Q23" i="42"/>
  <c r="N23" i="42"/>
  <c r="K23" i="42"/>
  <c r="H23" i="42"/>
  <c r="E23" i="42"/>
  <c r="H22" i="42"/>
  <c r="R21" i="42"/>
  <c r="O21" i="42"/>
  <c r="L21" i="42"/>
  <c r="I21" i="42"/>
  <c r="F21" i="42"/>
  <c r="Q15" i="42"/>
  <c r="N15" i="42"/>
  <c r="K15" i="42"/>
  <c r="H15" i="42"/>
  <c r="E15" i="42"/>
  <c r="Q14" i="42"/>
  <c r="N14" i="42"/>
  <c r="K14" i="42"/>
  <c r="H14" i="42"/>
  <c r="E14" i="42"/>
  <c r="Q13" i="42"/>
  <c r="N13" i="42"/>
  <c r="K13" i="42"/>
  <c r="H13" i="42"/>
  <c r="E13" i="42"/>
  <c r="Q12" i="42"/>
  <c r="N12" i="42"/>
  <c r="K12" i="42"/>
  <c r="H12" i="42"/>
  <c r="E12" i="42"/>
  <c r="Q11" i="42"/>
  <c r="N11" i="42"/>
  <c r="K11" i="42"/>
  <c r="H11" i="42"/>
  <c r="E11" i="42"/>
  <c r="Q10" i="42"/>
  <c r="N10" i="42"/>
  <c r="K10" i="42"/>
  <c r="H10" i="42"/>
  <c r="E10" i="42"/>
  <c r="Q9" i="42"/>
  <c r="N9" i="42"/>
  <c r="K9" i="42"/>
  <c r="H9" i="42"/>
  <c r="K8" i="42"/>
  <c r="H8" i="42"/>
  <c r="R7" i="42"/>
  <c r="O7" i="42"/>
  <c r="L7" i="42"/>
  <c r="I7" i="42"/>
  <c r="F7" i="42"/>
  <c r="Q9" i="41"/>
  <c r="Q10" i="41"/>
  <c r="Q12" i="41"/>
  <c r="Q13" i="41"/>
  <c r="Q15" i="41"/>
  <c r="N9" i="41"/>
  <c r="N10" i="41"/>
  <c r="N11" i="41"/>
  <c r="N12" i="41"/>
  <c r="N13" i="41"/>
  <c r="N14" i="41"/>
  <c r="N15" i="41"/>
  <c r="K9" i="41"/>
  <c r="K10" i="41"/>
  <c r="K12" i="41"/>
  <c r="K14" i="41"/>
  <c r="H9" i="41"/>
  <c r="H11" i="41"/>
  <c r="H12" i="41"/>
  <c r="H13" i="41"/>
  <c r="H14" i="41"/>
  <c r="H15" i="41"/>
  <c r="E10" i="41"/>
  <c r="E11" i="41"/>
  <c r="E12" i="41"/>
  <c r="E13" i="41"/>
  <c r="E15" i="41"/>
  <c r="Q23" i="41"/>
  <c r="Q27" i="41"/>
  <c r="Q28" i="41"/>
  <c r="Q29" i="41"/>
  <c r="N24" i="41"/>
  <c r="N25" i="41"/>
  <c r="N28" i="41"/>
  <c r="N29" i="41"/>
  <c r="K25" i="41"/>
  <c r="K26" i="41"/>
  <c r="K28" i="41"/>
  <c r="K29" i="41"/>
  <c r="H23" i="41"/>
  <c r="H26" i="41"/>
  <c r="H27" i="41"/>
  <c r="H28" i="41"/>
  <c r="H29" i="41"/>
  <c r="E23" i="41"/>
  <c r="E24" i="41"/>
  <c r="E27" i="41"/>
  <c r="E29" i="41"/>
  <c r="K38" i="41"/>
  <c r="K39" i="41"/>
  <c r="K40" i="41"/>
  <c r="K41" i="41"/>
  <c r="K42" i="41"/>
  <c r="K43" i="41"/>
  <c r="K44" i="41"/>
  <c r="H38" i="41"/>
  <c r="H39" i="41"/>
  <c r="H40" i="41"/>
  <c r="H42" i="41"/>
  <c r="H43" i="41"/>
  <c r="H44" i="41"/>
  <c r="E38" i="41"/>
  <c r="E39" i="41"/>
  <c r="E40" i="41"/>
  <c r="E41" i="41"/>
  <c r="E42" i="41"/>
  <c r="E43" i="41"/>
  <c r="E44" i="41"/>
  <c r="E37" i="41"/>
  <c r="K37" i="41"/>
  <c r="Q8" i="41"/>
  <c r="N8" i="41"/>
  <c r="E8" i="41"/>
  <c r="L104" i="41"/>
  <c r="K104" i="41"/>
  <c r="J104" i="41"/>
  <c r="I104" i="41"/>
  <c r="Q103" i="41"/>
  <c r="P103" i="41"/>
  <c r="N103" i="41"/>
  <c r="K103" i="41"/>
  <c r="J103" i="41"/>
  <c r="I103" i="41"/>
  <c r="Q102" i="41"/>
  <c r="P102" i="41"/>
  <c r="N102" i="41"/>
  <c r="K102" i="41"/>
  <c r="J102" i="41"/>
  <c r="I102" i="41"/>
  <c r="K101" i="41"/>
  <c r="J101" i="41"/>
  <c r="I101" i="41"/>
  <c r="K100" i="41"/>
  <c r="J100" i="41"/>
  <c r="I100" i="41"/>
  <c r="K99" i="41"/>
  <c r="J99" i="41"/>
  <c r="I99" i="41"/>
  <c r="Q98" i="41"/>
  <c r="P98" i="41"/>
  <c r="N98" i="41"/>
  <c r="K98" i="41"/>
  <c r="J98" i="41"/>
  <c r="I98" i="41"/>
  <c r="Q97" i="41"/>
  <c r="P97" i="41"/>
  <c r="N97" i="41"/>
  <c r="K97" i="41"/>
  <c r="J97" i="41"/>
  <c r="I97" i="41"/>
  <c r="D96" i="41"/>
  <c r="S93" i="41"/>
  <c r="S98" i="41" s="1"/>
  <c r="T98" i="41" s="1"/>
  <c r="H41" i="41"/>
  <c r="L36" i="41"/>
  <c r="I36" i="41"/>
  <c r="F36" i="41"/>
  <c r="E28" i="41"/>
  <c r="N27" i="41"/>
  <c r="K27" i="41"/>
  <c r="Q26" i="41"/>
  <c r="N26" i="41"/>
  <c r="E26" i="41"/>
  <c r="Q25" i="41"/>
  <c r="H25" i="41"/>
  <c r="E25" i="41"/>
  <c r="Q24" i="41"/>
  <c r="K24" i="41"/>
  <c r="H24" i="41"/>
  <c r="N23" i="41"/>
  <c r="K23" i="41"/>
  <c r="R21" i="41"/>
  <c r="O21" i="41"/>
  <c r="L21" i="41"/>
  <c r="I21" i="41"/>
  <c r="F21" i="41"/>
  <c r="K15" i="41"/>
  <c r="Q14" i="41"/>
  <c r="E14" i="41"/>
  <c r="K13" i="41"/>
  <c r="Q11" i="41"/>
  <c r="K11" i="41"/>
  <c r="H10" i="41"/>
  <c r="E9" i="41"/>
  <c r="R7" i="41"/>
  <c r="O7" i="41"/>
  <c r="L7" i="41"/>
  <c r="I7" i="41"/>
  <c r="F7" i="41"/>
  <c r="E96" i="42" l="1"/>
  <c r="P16" i="44"/>
  <c r="E96" i="41"/>
  <c r="S94" i="42"/>
  <c r="T94" i="42" s="1"/>
  <c r="Q100" i="42" s="1"/>
  <c r="S99" i="42"/>
  <c r="T99" i="42" s="1"/>
  <c r="E96" i="44"/>
  <c r="S97" i="41"/>
  <c r="T97" i="41" s="1"/>
  <c r="T93" i="42"/>
  <c r="Q99" i="42" s="1"/>
  <c r="M31" i="41"/>
  <c r="O23" i="41" s="1"/>
  <c r="D31" i="41"/>
  <c r="J30" i="41"/>
  <c r="D107" i="46"/>
  <c r="D31" i="44"/>
  <c r="F22" i="44" s="1"/>
  <c r="J30" i="44"/>
  <c r="G30" i="44"/>
  <c r="D106" i="46"/>
  <c r="G30" i="41"/>
  <c r="D45" i="44"/>
  <c r="P31" i="41"/>
  <c r="D30" i="44"/>
  <c r="D16" i="42"/>
  <c r="J45" i="42"/>
  <c r="M17" i="42"/>
  <c r="F98" i="42"/>
  <c r="L98" i="42" s="1"/>
  <c r="G45" i="44"/>
  <c r="P16" i="42"/>
  <c r="G46" i="42"/>
  <c r="F97" i="42"/>
  <c r="L97" i="42" s="1"/>
  <c r="D108" i="46"/>
  <c r="J31" i="42"/>
  <c r="L26" i="42" s="1"/>
  <c r="D103" i="42"/>
  <c r="D45" i="42"/>
  <c r="E103" i="46"/>
  <c r="E97" i="46"/>
  <c r="E99" i="46"/>
  <c r="E102" i="46"/>
  <c r="E98" i="46"/>
  <c r="E101" i="46"/>
  <c r="E104" i="46"/>
  <c r="E100" i="46"/>
  <c r="D31" i="42"/>
  <c r="M31" i="42"/>
  <c r="O28" i="42" s="1"/>
  <c r="K37" i="42"/>
  <c r="G30" i="42"/>
  <c r="P31" i="42"/>
  <c r="F100" i="42"/>
  <c r="L100" i="42" s="1"/>
  <c r="F101" i="42"/>
  <c r="L101" i="42" s="1"/>
  <c r="G46" i="44"/>
  <c r="I39" i="44" s="1"/>
  <c r="H37" i="44"/>
  <c r="J16" i="42"/>
  <c r="D98" i="42"/>
  <c r="F103" i="42"/>
  <c r="L103" i="42" s="1"/>
  <c r="J101" i="44"/>
  <c r="J31" i="44"/>
  <c r="L29" i="44" s="1"/>
  <c r="M31" i="44"/>
  <c r="P31" i="44"/>
  <c r="P30" i="44"/>
  <c r="D104" i="44"/>
  <c r="D103" i="44"/>
  <c r="D16" i="44"/>
  <c r="G16" i="44"/>
  <c r="M17" i="44"/>
  <c r="D100" i="44"/>
  <c r="M16" i="44"/>
  <c r="J17" i="44"/>
  <c r="F24" i="44"/>
  <c r="F29" i="44"/>
  <c r="F25" i="44"/>
  <c r="D101" i="44"/>
  <c r="D102" i="44"/>
  <c r="D99" i="44"/>
  <c r="E8" i="44"/>
  <c r="Q8" i="44"/>
  <c r="N9" i="44"/>
  <c r="D17" i="44"/>
  <c r="P17" i="44"/>
  <c r="N22" i="44"/>
  <c r="K23" i="44"/>
  <c r="G31" i="44"/>
  <c r="E37" i="44"/>
  <c r="H38" i="44"/>
  <c r="J46" i="44"/>
  <c r="S97" i="44"/>
  <c r="T97" i="44" s="1"/>
  <c r="J16" i="44"/>
  <c r="G17" i="44"/>
  <c r="M30" i="44"/>
  <c r="J45" i="44"/>
  <c r="S95" i="44"/>
  <c r="T95" i="44" s="1"/>
  <c r="Q101" i="44" s="1"/>
  <c r="S96" i="44"/>
  <c r="T96" i="44" s="1"/>
  <c r="S101" i="44"/>
  <c r="T101" i="44" s="1"/>
  <c r="K8" i="44"/>
  <c r="H22" i="44"/>
  <c r="E23" i="44"/>
  <c r="Q23" i="44"/>
  <c r="D46" i="44"/>
  <c r="T93" i="44"/>
  <c r="Q99" i="44" s="1"/>
  <c r="S99" i="44"/>
  <c r="T99" i="44" s="1"/>
  <c r="S100" i="44"/>
  <c r="T100" i="44" s="1"/>
  <c r="S94" i="44"/>
  <c r="T94" i="44" s="1"/>
  <c r="Q100" i="44" s="1"/>
  <c r="F99" i="42"/>
  <c r="L99" i="42" s="1"/>
  <c r="D100" i="42"/>
  <c r="D102" i="42"/>
  <c r="D104" i="42"/>
  <c r="D99" i="42"/>
  <c r="D101" i="42"/>
  <c r="E8" i="42"/>
  <c r="Q8" i="42"/>
  <c r="G16" i="42"/>
  <c r="D17" i="42"/>
  <c r="P17" i="42"/>
  <c r="N22" i="42"/>
  <c r="J30" i="42"/>
  <c r="G31" i="42"/>
  <c r="E37" i="42"/>
  <c r="G45" i="42"/>
  <c r="J46" i="42"/>
  <c r="S97" i="42"/>
  <c r="T97" i="42" s="1"/>
  <c r="N8" i="42"/>
  <c r="G17" i="42"/>
  <c r="K22" i="42"/>
  <c r="M30" i="42"/>
  <c r="S95" i="42"/>
  <c r="T95" i="42" s="1"/>
  <c r="Q101" i="42" s="1"/>
  <c r="S96" i="42"/>
  <c r="T96" i="42" s="1"/>
  <c r="S101" i="42"/>
  <c r="T101" i="42" s="1"/>
  <c r="F102" i="42"/>
  <c r="L102" i="42" s="1"/>
  <c r="M16" i="42"/>
  <c r="J17" i="42"/>
  <c r="D30" i="42"/>
  <c r="F28" i="42" s="1"/>
  <c r="P30" i="42"/>
  <c r="R23" i="42" s="1"/>
  <c r="D46" i="42"/>
  <c r="S100" i="42"/>
  <c r="T100" i="42" s="1"/>
  <c r="E22" i="42"/>
  <c r="Q22" i="42"/>
  <c r="H37" i="42"/>
  <c r="D100" i="41"/>
  <c r="D102" i="41"/>
  <c r="D101" i="41"/>
  <c r="D98" i="41"/>
  <c r="N22" i="41"/>
  <c r="D103" i="41"/>
  <c r="H8" i="41"/>
  <c r="G17" i="41"/>
  <c r="D16" i="41"/>
  <c r="P16" i="41"/>
  <c r="D104" i="41"/>
  <c r="D17" i="41"/>
  <c r="G31" i="41"/>
  <c r="D45" i="41"/>
  <c r="G45" i="41"/>
  <c r="O28" i="41"/>
  <c r="O24" i="41"/>
  <c r="O29" i="41"/>
  <c r="O25" i="41"/>
  <c r="O26" i="41"/>
  <c r="O22" i="41"/>
  <c r="J17" i="41"/>
  <c r="K8" i="41"/>
  <c r="J16" i="41"/>
  <c r="D99" i="41"/>
  <c r="P17" i="41"/>
  <c r="J46" i="41"/>
  <c r="F104" i="41"/>
  <c r="F99" i="41"/>
  <c r="L99" i="41" s="1"/>
  <c r="F103" i="41"/>
  <c r="L103" i="41" s="1"/>
  <c r="F101" i="41"/>
  <c r="L101" i="41" s="1"/>
  <c r="F100" i="41"/>
  <c r="L100" i="41" s="1"/>
  <c r="F102" i="41"/>
  <c r="L102" i="41" s="1"/>
  <c r="F97" i="41"/>
  <c r="L97" i="41" s="1"/>
  <c r="G16" i="41"/>
  <c r="M17" i="41"/>
  <c r="M16" i="41"/>
  <c r="J31" i="41"/>
  <c r="K22" i="41"/>
  <c r="O27" i="41"/>
  <c r="G46" i="41"/>
  <c r="F98" i="41"/>
  <c r="L98" i="41" s="1"/>
  <c r="M30" i="41"/>
  <c r="J45" i="41"/>
  <c r="S95" i="41"/>
  <c r="T95" i="41" s="1"/>
  <c r="Q101" i="41" s="1"/>
  <c r="S96" i="41"/>
  <c r="T96" i="41" s="1"/>
  <c r="S101" i="41"/>
  <c r="T101" i="41" s="1"/>
  <c r="H22" i="41"/>
  <c r="D30" i="41"/>
  <c r="P30" i="41"/>
  <c r="D46" i="41"/>
  <c r="T93" i="41"/>
  <c r="Q99" i="41" s="1"/>
  <c r="S99" i="41"/>
  <c r="T99" i="41" s="1"/>
  <c r="S100" i="41"/>
  <c r="T100" i="41" s="1"/>
  <c r="E22" i="41"/>
  <c r="Q22" i="41"/>
  <c r="H37" i="41"/>
  <c r="S94" i="41"/>
  <c r="T94" i="41" s="1"/>
  <c r="Q100" i="41" s="1"/>
  <c r="H9" i="39"/>
  <c r="K9" i="39"/>
  <c r="K8" i="39"/>
  <c r="E44" i="39"/>
  <c r="E43" i="39"/>
  <c r="E42" i="39"/>
  <c r="E40" i="39"/>
  <c r="E39" i="39"/>
  <c r="E37" i="39"/>
  <c r="Q25" i="39"/>
  <c r="Q23" i="39"/>
  <c r="H22" i="39"/>
  <c r="H25" i="39"/>
  <c r="H26" i="39"/>
  <c r="H27" i="39"/>
  <c r="H28" i="39"/>
  <c r="H29" i="39"/>
  <c r="Q29" i="39"/>
  <c r="Q27" i="39"/>
  <c r="Q28" i="39"/>
  <c r="Q26" i="39"/>
  <c r="Q24" i="39"/>
  <c r="E38" i="39"/>
  <c r="K23" i="39"/>
  <c r="E10" i="39"/>
  <c r="Q9" i="39"/>
  <c r="Q8" i="39"/>
  <c r="N13" i="39"/>
  <c r="L104" i="39"/>
  <c r="K104" i="39"/>
  <c r="J104" i="39"/>
  <c r="I104" i="39"/>
  <c r="Q103" i="39"/>
  <c r="P103" i="39"/>
  <c r="N103" i="39"/>
  <c r="K103" i="39"/>
  <c r="J103" i="39"/>
  <c r="I103" i="39"/>
  <c r="Q102" i="39"/>
  <c r="P102" i="39"/>
  <c r="N102" i="39"/>
  <c r="K102" i="39"/>
  <c r="J102" i="39"/>
  <c r="I102" i="39"/>
  <c r="K101" i="39"/>
  <c r="J101" i="39"/>
  <c r="I101" i="39"/>
  <c r="K100" i="39"/>
  <c r="J100" i="39"/>
  <c r="I100" i="39"/>
  <c r="F104" i="39" s="1"/>
  <c r="K99" i="39"/>
  <c r="J99" i="39"/>
  <c r="I99" i="39"/>
  <c r="Q98" i="39"/>
  <c r="P98" i="39"/>
  <c r="N98" i="39"/>
  <c r="K98" i="39"/>
  <c r="J98" i="39"/>
  <c r="I98" i="39"/>
  <c r="Q97" i="39"/>
  <c r="P97" i="39"/>
  <c r="N97" i="39"/>
  <c r="K97" i="39"/>
  <c r="J97" i="39"/>
  <c r="I97" i="39"/>
  <c r="D96" i="39"/>
  <c r="S93" i="39"/>
  <c r="S98" i="39" s="1"/>
  <c r="T98" i="39" s="1"/>
  <c r="K44" i="39"/>
  <c r="H44" i="39"/>
  <c r="K43" i="39"/>
  <c r="H43" i="39"/>
  <c r="K42" i="39"/>
  <c r="H42" i="39"/>
  <c r="K41" i="39"/>
  <c r="H41" i="39"/>
  <c r="E41" i="39"/>
  <c r="K40" i="39"/>
  <c r="H40" i="39"/>
  <c r="K39" i="39"/>
  <c r="H39" i="39"/>
  <c r="K38" i="39"/>
  <c r="L36" i="39"/>
  <c r="I36" i="39"/>
  <c r="F36" i="39"/>
  <c r="N29" i="39"/>
  <c r="K29" i="39"/>
  <c r="E29" i="39"/>
  <c r="N28" i="39"/>
  <c r="K28" i="39"/>
  <c r="E28" i="39"/>
  <c r="N27" i="39"/>
  <c r="K27" i="39"/>
  <c r="E27" i="39"/>
  <c r="N26" i="39"/>
  <c r="K26" i="39"/>
  <c r="E26" i="39"/>
  <c r="N25" i="39"/>
  <c r="K25" i="39"/>
  <c r="E25" i="39"/>
  <c r="N24" i="39"/>
  <c r="K24" i="39"/>
  <c r="E24" i="39"/>
  <c r="N23" i="39"/>
  <c r="H23" i="39"/>
  <c r="E23" i="39"/>
  <c r="R21" i="39"/>
  <c r="O21" i="39"/>
  <c r="L21" i="39"/>
  <c r="I21" i="39"/>
  <c r="F21" i="39"/>
  <c r="Q15" i="39"/>
  <c r="N15" i="39"/>
  <c r="K15" i="39"/>
  <c r="H15" i="39"/>
  <c r="E15" i="39"/>
  <c r="Q14" i="39"/>
  <c r="N14" i="39"/>
  <c r="K14" i="39"/>
  <c r="H14" i="39"/>
  <c r="E14" i="39"/>
  <c r="Q13" i="39"/>
  <c r="K13" i="39"/>
  <c r="H13" i="39"/>
  <c r="E13" i="39"/>
  <c r="Q12" i="39"/>
  <c r="N12" i="39"/>
  <c r="K12" i="39"/>
  <c r="H12" i="39"/>
  <c r="E12" i="39"/>
  <c r="Q11" i="39"/>
  <c r="N11" i="39"/>
  <c r="K11" i="39"/>
  <c r="H11" i="39"/>
  <c r="E11" i="39"/>
  <c r="Q10" i="39"/>
  <c r="N10" i="39"/>
  <c r="K10" i="39"/>
  <c r="H10" i="39"/>
  <c r="N9" i="39"/>
  <c r="E9" i="39"/>
  <c r="R7" i="39"/>
  <c r="O7" i="39"/>
  <c r="L7" i="39"/>
  <c r="I7" i="39"/>
  <c r="F7" i="39"/>
  <c r="N8" i="37"/>
  <c r="Q8" i="37"/>
  <c r="K107" i="37"/>
  <c r="J107" i="37"/>
  <c r="I107" i="37"/>
  <c r="Q106" i="37"/>
  <c r="P106" i="37"/>
  <c r="N106" i="37"/>
  <c r="K106" i="37"/>
  <c r="J106" i="37"/>
  <c r="I106" i="37"/>
  <c r="Q105" i="37"/>
  <c r="P105" i="37"/>
  <c r="N105" i="37"/>
  <c r="K105" i="37"/>
  <c r="J105" i="37"/>
  <c r="I105" i="37"/>
  <c r="K104" i="37"/>
  <c r="J104" i="37"/>
  <c r="I104" i="37"/>
  <c r="K103" i="37"/>
  <c r="J103" i="37"/>
  <c r="I103" i="37"/>
  <c r="F107" i="37" s="1"/>
  <c r="K102" i="37"/>
  <c r="J102" i="37"/>
  <c r="I102" i="37"/>
  <c r="Q101" i="37"/>
  <c r="P101" i="37"/>
  <c r="N101" i="37"/>
  <c r="K101" i="37"/>
  <c r="J101" i="37"/>
  <c r="I101" i="37"/>
  <c r="Q100" i="37"/>
  <c r="P100" i="37"/>
  <c r="N100" i="37"/>
  <c r="K100" i="37"/>
  <c r="J100" i="37"/>
  <c r="I100" i="37"/>
  <c r="D99" i="37"/>
  <c r="S96" i="37"/>
  <c r="S101" i="37" s="1"/>
  <c r="T101" i="37" s="1"/>
  <c r="K47" i="37"/>
  <c r="H47" i="37"/>
  <c r="E47" i="37"/>
  <c r="K46" i="37"/>
  <c r="H46" i="37"/>
  <c r="E46" i="37"/>
  <c r="K45" i="37"/>
  <c r="H45" i="37"/>
  <c r="E45" i="37"/>
  <c r="K44" i="37"/>
  <c r="H44" i="37"/>
  <c r="E44" i="37"/>
  <c r="K43" i="37"/>
  <c r="H43" i="37"/>
  <c r="E43" i="37"/>
  <c r="K42" i="37"/>
  <c r="H42" i="37"/>
  <c r="E42" i="37"/>
  <c r="K41" i="37"/>
  <c r="H41" i="37"/>
  <c r="E41" i="37"/>
  <c r="K40" i="37"/>
  <c r="H40" i="37"/>
  <c r="E40" i="37"/>
  <c r="L38" i="37"/>
  <c r="I38" i="37"/>
  <c r="F38" i="37"/>
  <c r="Q31" i="37"/>
  <c r="N31" i="37"/>
  <c r="K31" i="37"/>
  <c r="H31" i="37"/>
  <c r="E31" i="37"/>
  <c r="Q30" i="37"/>
  <c r="N30" i="37"/>
  <c r="K30" i="37"/>
  <c r="H30" i="37"/>
  <c r="E30" i="37"/>
  <c r="Q29" i="37"/>
  <c r="N29" i="37"/>
  <c r="K29" i="37"/>
  <c r="H29" i="37"/>
  <c r="E29" i="37"/>
  <c r="Q28" i="37"/>
  <c r="N28" i="37"/>
  <c r="K28" i="37"/>
  <c r="H28" i="37"/>
  <c r="E28" i="37"/>
  <c r="Q27" i="37"/>
  <c r="N27" i="37"/>
  <c r="K27" i="37"/>
  <c r="H27" i="37"/>
  <c r="E27" i="37"/>
  <c r="Q26" i="37"/>
  <c r="N26" i="37"/>
  <c r="K26" i="37"/>
  <c r="H26" i="37"/>
  <c r="E26" i="37"/>
  <c r="Q25" i="37"/>
  <c r="N25" i="37"/>
  <c r="K25" i="37"/>
  <c r="H25" i="37"/>
  <c r="E25" i="37"/>
  <c r="Q24" i="37"/>
  <c r="N24" i="37"/>
  <c r="K24" i="37"/>
  <c r="H24" i="37"/>
  <c r="E24" i="37"/>
  <c r="Q23" i="37"/>
  <c r="E23" i="37"/>
  <c r="R22" i="37"/>
  <c r="O22" i="37"/>
  <c r="L22" i="37"/>
  <c r="I22" i="37"/>
  <c r="F22" i="37"/>
  <c r="Q16" i="37"/>
  <c r="N16" i="37"/>
  <c r="K16" i="37"/>
  <c r="H16" i="37"/>
  <c r="E16" i="37"/>
  <c r="Q15" i="37"/>
  <c r="N15" i="37"/>
  <c r="K15" i="37"/>
  <c r="H15" i="37"/>
  <c r="E15" i="37"/>
  <c r="Q14" i="37"/>
  <c r="N14" i="37"/>
  <c r="K14" i="37"/>
  <c r="H14" i="37"/>
  <c r="E14" i="37"/>
  <c r="Q13" i="37"/>
  <c r="N13" i="37"/>
  <c r="K13" i="37"/>
  <c r="H13" i="37"/>
  <c r="E13" i="37"/>
  <c r="Q12" i="37"/>
  <c r="N12" i="37"/>
  <c r="K12" i="37"/>
  <c r="H12" i="37"/>
  <c r="E12" i="37"/>
  <c r="Q11" i="37"/>
  <c r="N11" i="37"/>
  <c r="K11" i="37"/>
  <c r="H11" i="37"/>
  <c r="E11" i="37"/>
  <c r="Q10" i="37"/>
  <c r="N10" i="37"/>
  <c r="K10" i="37"/>
  <c r="H10" i="37"/>
  <c r="E10" i="37"/>
  <c r="Q9" i="37"/>
  <c r="N9" i="37"/>
  <c r="K9" i="37"/>
  <c r="H9" i="37"/>
  <c r="E9" i="37"/>
  <c r="K8" i="37"/>
  <c r="E8" i="37"/>
  <c r="R7" i="37"/>
  <c r="O7" i="37"/>
  <c r="L7" i="37"/>
  <c r="I7" i="37"/>
  <c r="F7" i="37"/>
  <c r="I43" i="44" l="1"/>
  <c r="F26" i="44"/>
  <c r="F23" i="44"/>
  <c r="F27" i="44"/>
  <c r="O12" i="42"/>
  <c r="F28" i="44"/>
  <c r="L24" i="42"/>
  <c r="L22" i="42"/>
  <c r="O25" i="42"/>
  <c r="F22" i="41"/>
  <c r="L23" i="42"/>
  <c r="L25" i="42"/>
  <c r="L27" i="42"/>
  <c r="L29" i="42"/>
  <c r="O23" i="42"/>
  <c r="T93" i="39"/>
  <c r="Q99" i="39" s="1"/>
  <c r="S97" i="39"/>
  <c r="T97" i="39" s="1"/>
  <c r="L28" i="42"/>
  <c r="I41" i="44"/>
  <c r="O27" i="42"/>
  <c r="O29" i="42"/>
  <c r="R23" i="41"/>
  <c r="O22" i="42"/>
  <c r="O24" i="42"/>
  <c r="I44" i="42"/>
  <c r="O26" i="42"/>
  <c r="G30" i="39"/>
  <c r="D31" i="39"/>
  <c r="H24" i="39"/>
  <c r="D99" i="39" s="1"/>
  <c r="I38" i="44"/>
  <c r="I40" i="44"/>
  <c r="L105" i="42"/>
  <c r="I37" i="42"/>
  <c r="I42" i="44"/>
  <c r="I44" i="44"/>
  <c r="J48" i="37"/>
  <c r="I37" i="44"/>
  <c r="G33" i="37"/>
  <c r="I25" i="37" s="1"/>
  <c r="D108" i="37"/>
  <c r="D48" i="37"/>
  <c r="M33" i="37"/>
  <c r="E107" i="46"/>
  <c r="E108" i="46"/>
  <c r="E106" i="46"/>
  <c r="J45" i="39"/>
  <c r="I39" i="42"/>
  <c r="R27" i="44"/>
  <c r="I40" i="42"/>
  <c r="D106" i="37"/>
  <c r="M31" i="39"/>
  <c r="O25" i="39" s="1"/>
  <c r="I38" i="42"/>
  <c r="L24" i="44"/>
  <c r="L22" i="44"/>
  <c r="L28" i="44"/>
  <c r="L26" i="44"/>
  <c r="L23" i="44"/>
  <c r="L25" i="44"/>
  <c r="L27" i="44"/>
  <c r="O25" i="44"/>
  <c r="O22" i="44"/>
  <c r="O29" i="44"/>
  <c r="O24" i="44"/>
  <c r="O27" i="44"/>
  <c r="R22" i="44"/>
  <c r="R26" i="44"/>
  <c r="R24" i="44"/>
  <c r="R28" i="44"/>
  <c r="R25" i="44"/>
  <c r="R23" i="44"/>
  <c r="R29" i="44"/>
  <c r="L12" i="44"/>
  <c r="D98" i="44"/>
  <c r="O15" i="44"/>
  <c r="O8" i="44"/>
  <c r="O10" i="44"/>
  <c r="O13" i="44"/>
  <c r="O14" i="44"/>
  <c r="O12" i="44"/>
  <c r="O9" i="44"/>
  <c r="O11" i="44"/>
  <c r="L41" i="44"/>
  <c r="L37" i="44"/>
  <c r="L44" i="44"/>
  <c r="L40" i="44"/>
  <c r="L43" i="44"/>
  <c r="L39" i="44"/>
  <c r="L42" i="44"/>
  <c r="L38" i="44"/>
  <c r="L11" i="44"/>
  <c r="L9" i="44"/>
  <c r="O26" i="44"/>
  <c r="O28" i="44"/>
  <c r="I13" i="44"/>
  <c r="I9" i="44"/>
  <c r="I14" i="44"/>
  <c r="I10" i="44"/>
  <c r="I15" i="44"/>
  <c r="I11" i="44"/>
  <c r="I12" i="44"/>
  <c r="I8" i="44"/>
  <c r="L15" i="44"/>
  <c r="L13" i="44"/>
  <c r="O23" i="44"/>
  <c r="R14" i="44"/>
  <c r="R10" i="44"/>
  <c r="R15" i="44"/>
  <c r="R11" i="44"/>
  <c r="R12" i="44"/>
  <c r="R8" i="44"/>
  <c r="R13" i="44"/>
  <c r="R9" i="44"/>
  <c r="D97" i="44"/>
  <c r="L10" i="44"/>
  <c r="L8" i="44"/>
  <c r="F43" i="44"/>
  <c r="F39" i="44"/>
  <c r="F42" i="44"/>
  <c r="F38" i="44"/>
  <c r="F41" i="44"/>
  <c r="F37" i="44"/>
  <c r="F44" i="44"/>
  <c r="F40" i="44"/>
  <c r="I26" i="44"/>
  <c r="I22" i="44"/>
  <c r="I27" i="44"/>
  <c r="I23" i="44"/>
  <c r="I28" i="44"/>
  <c r="I24" i="44"/>
  <c r="I29" i="44"/>
  <c r="I25" i="44"/>
  <c r="F14" i="44"/>
  <c r="F10" i="44"/>
  <c r="F15" i="44"/>
  <c r="F11" i="44"/>
  <c r="F12" i="44"/>
  <c r="F8" i="44"/>
  <c r="F13" i="44"/>
  <c r="F9" i="44"/>
  <c r="L14" i="44"/>
  <c r="L12" i="42"/>
  <c r="L8" i="42"/>
  <c r="L13" i="42"/>
  <c r="L9" i="42"/>
  <c r="L14" i="42"/>
  <c r="L10" i="42"/>
  <c r="L15" i="42"/>
  <c r="L11" i="42"/>
  <c r="I13" i="42"/>
  <c r="I9" i="42"/>
  <c r="I14" i="42"/>
  <c r="I10" i="42"/>
  <c r="I15" i="42"/>
  <c r="I11" i="42"/>
  <c r="I12" i="42"/>
  <c r="I8" i="42"/>
  <c r="I41" i="42"/>
  <c r="I43" i="42"/>
  <c r="R29" i="42"/>
  <c r="R27" i="42"/>
  <c r="O9" i="42"/>
  <c r="O11" i="42"/>
  <c r="F25" i="42"/>
  <c r="F23" i="42"/>
  <c r="F43" i="42"/>
  <c r="F39" i="42"/>
  <c r="F42" i="42"/>
  <c r="F38" i="42"/>
  <c r="F41" i="42"/>
  <c r="F37" i="42"/>
  <c r="F44" i="42"/>
  <c r="F40" i="42"/>
  <c r="R14" i="42"/>
  <c r="R10" i="42"/>
  <c r="R15" i="42"/>
  <c r="R11" i="42"/>
  <c r="R12" i="42"/>
  <c r="R8" i="42"/>
  <c r="R13" i="42"/>
  <c r="R9" i="42"/>
  <c r="D97" i="42"/>
  <c r="R22" i="42"/>
  <c r="R24" i="42"/>
  <c r="O13" i="42"/>
  <c r="O15" i="42"/>
  <c r="F29" i="42"/>
  <c r="F27" i="42"/>
  <c r="I26" i="42"/>
  <c r="I22" i="42"/>
  <c r="I27" i="42"/>
  <c r="I23" i="42"/>
  <c r="I28" i="42"/>
  <c r="I24" i="42"/>
  <c r="I29" i="42"/>
  <c r="I25" i="42"/>
  <c r="F14" i="42"/>
  <c r="F10" i="42"/>
  <c r="F15" i="42"/>
  <c r="F11" i="42"/>
  <c r="F12" i="42"/>
  <c r="F8" i="42"/>
  <c r="F13" i="42"/>
  <c r="F9" i="42"/>
  <c r="I42" i="42"/>
  <c r="R26" i="42"/>
  <c r="R28" i="42"/>
  <c r="O10" i="42"/>
  <c r="O8" i="42"/>
  <c r="F22" i="42"/>
  <c r="F24" i="42"/>
  <c r="L41" i="42"/>
  <c r="L37" i="42"/>
  <c r="L44" i="42"/>
  <c r="L40" i="42"/>
  <c r="L43" i="42"/>
  <c r="L39" i="42"/>
  <c r="L42" i="42"/>
  <c r="L38" i="42"/>
  <c r="R25" i="42"/>
  <c r="O14" i="42"/>
  <c r="F26" i="42"/>
  <c r="D97" i="41"/>
  <c r="D107" i="41" s="1"/>
  <c r="I44" i="41"/>
  <c r="I40" i="41"/>
  <c r="I43" i="41"/>
  <c r="I39" i="41"/>
  <c r="I42" i="41"/>
  <c r="I38" i="41"/>
  <c r="I37" i="41"/>
  <c r="I41" i="41"/>
  <c r="F25" i="41"/>
  <c r="F23" i="41"/>
  <c r="R29" i="41"/>
  <c r="R27" i="41"/>
  <c r="F14" i="41"/>
  <c r="F10" i="41"/>
  <c r="F15" i="41"/>
  <c r="F11" i="41"/>
  <c r="F12" i="41"/>
  <c r="F8" i="41"/>
  <c r="F13" i="41"/>
  <c r="F9" i="41"/>
  <c r="I13" i="41"/>
  <c r="I9" i="41"/>
  <c r="I14" i="41"/>
  <c r="I10" i="41"/>
  <c r="I15" i="41"/>
  <c r="I11" i="41"/>
  <c r="I12" i="41"/>
  <c r="I8" i="41"/>
  <c r="L29" i="41"/>
  <c r="L25" i="41"/>
  <c r="L26" i="41"/>
  <c r="L22" i="41"/>
  <c r="L27" i="41"/>
  <c r="L23" i="41"/>
  <c r="L24" i="41"/>
  <c r="L28" i="41"/>
  <c r="F29" i="41"/>
  <c r="F27" i="41"/>
  <c r="R24" i="41"/>
  <c r="R14" i="41"/>
  <c r="R10" i="41"/>
  <c r="R15" i="41"/>
  <c r="R11" i="41"/>
  <c r="R12" i="41"/>
  <c r="R8" i="41"/>
  <c r="R13" i="41"/>
  <c r="R9" i="41"/>
  <c r="L12" i="41"/>
  <c r="L8" i="41"/>
  <c r="L13" i="41"/>
  <c r="L9" i="41"/>
  <c r="L14" i="41"/>
  <c r="L10" i="41"/>
  <c r="L15" i="41"/>
  <c r="L11" i="41"/>
  <c r="F43" i="41"/>
  <c r="F39" i="41"/>
  <c r="F42" i="41"/>
  <c r="F38" i="41"/>
  <c r="F41" i="41"/>
  <c r="F37" i="41"/>
  <c r="F44" i="41"/>
  <c r="F40" i="41"/>
  <c r="F26" i="41"/>
  <c r="F24" i="41"/>
  <c r="L41" i="41"/>
  <c r="L37" i="41"/>
  <c r="L44" i="41"/>
  <c r="L40" i="41"/>
  <c r="L43" i="41"/>
  <c r="L39" i="41"/>
  <c r="L38" i="41"/>
  <c r="L42" i="41"/>
  <c r="R28" i="41"/>
  <c r="R26" i="41"/>
  <c r="R22" i="41"/>
  <c r="O15" i="41"/>
  <c r="O11" i="41"/>
  <c r="O12" i="41"/>
  <c r="O8" i="41"/>
  <c r="O14" i="41"/>
  <c r="O13" i="41"/>
  <c r="O9" i="41"/>
  <c r="O10" i="41"/>
  <c r="F28" i="41"/>
  <c r="L105" i="41"/>
  <c r="R25" i="41"/>
  <c r="I26" i="41"/>
  <c r="I22" i="41"/>
  <c r="I27" i="41"/>
  <c r="I23" i="41"/>
  <c r="I28" i="41"/>
  <c r="I24" i="41"/>
  <c r="I29" i="41"/>
  <c r="I25" i="41"/>
  <c r="D101" i="37"/>
  <c r="J32" i="37"/>
  <c r="N22" i="39"/>
  <c r="K37" i="39"/>
  <c r="D102" i="37"/>
  <c r="N23" i="37"/>
  <c r="G49" i="37"/>
  <c r="J31" i="39"/>
  <c r="G46" i="39"/>
  <c r="D45" i="39"/>
  <c r="H38" i="39"/>
  <c r="D98" i="39" s="1"/>
  <c r="D101" i="39"/>
  <c r="D104" i="39"/>
  <c r="P31" i="39"/>
  <c r="F98" i="39"/>
  <c r="L98" i="39" s="1"/>
  <c r="F97" i="39"/>
  <c r="L97" i="39" s="1"/>
  <c r="E96" i="39"/>
  <c r="H8" i="39"/>
  <c r="G17" i="39"/>
  <c r="G16" i="39"/>
  <c r="M17" i="39"/>
  <c r="M16" i="39"/>
  <c r="N8" i="39"/>
  <c r="D100" i="39"/>
  <c r="D102" i="39"/>
  <c r="O29" i="39"/>
  <c r="O27" i="39"/>
  <c r="D16" i="39"/>
  <c r="D17" i="39"/>
  <c r="E8" i="39"/>
  <c r="J17" i="39"/>
  <c r="J16" i="39"/>
  <c r="P16" i="39"/>
  <c r="D103" i="39"/>
  <c r="P17" i="39"/>
  <c r="J30" i="39"/>
  <c r="G31" i="39"/>
  <c r="G45" i="39"/>
  <c r="J46" i="39"/>
  <c r="K22" i="39"/>
  <c r="M30" i="39"/>
  <c r="S95" i="39"/>
  <c r="T95" i="39" s="1"/>
  <c r="Q101" i="39" s="1"/>
  <c r="S96" i="39"/>
  <c r="T96" i="39" s="1"/>
  <c r="S101" i="39"/>
  <c r="T101" i="39" s="1"/>
  <c r="F102" i="39"/>
  <c r="L102" i="39" s="1"/>
  <c r="D30" i="39"/>
  <c r="F23" i="39" s="1"/>
  <c r="P30" i="39"/>
  <c r="D46" i="39"/>
  <c r="S99" i="39"/>
  <c r="T99" i="39" s="1"/>
  <c r="F100" i="39"/>
  <c r="L100" i="39" s="1"/>
  <c r="S100" i="39"/>
  <c r="T100" i="39" s="1"/>
  <c r="F101" i="39"/>
  <c r="L101" i="39" s="1"/>
  <c r="F103" i="39"/>
  <c r="L103" i="39" s="1"/>
  <c r="E22" i="39"/>
  <c r="Q22" i="39"/>
  <c r="H37" i="39"/>
  <c r="S94" i="39"/>
  <c r="T94" i="39" s="1"/>
  <c r="Q100" i="39" s="1"/>
  <c r="F99" i="39"/>
  <c r="L99" i="39" s="1"/>
  <c r="F101" i="37"/>
  <c r="L101" i="37" s="1"/>
  <c r="F100" i="37"/>
  <c r="L100" i="37" s="1"/>
  <c r="F103" i="37"/>
  <c r="L103" i="37" s="1"/>
  <c r="E99" i="37"/>
  <c r="G18" i="37"/>
  <c r="G17" i="37"/>
  <c r="D17" i="37"/>
  <c r="D18" i="37"/>
  <c r="H8" i="37"/>
  <c r="P17" i="37"/>
  <c r="P18" i="37"/>
  <c r="D103" i="37"/>
  <c r="D104" i="37"/>
  <c r="D105" i="37"/>
  <c r="D107" i="37"/>
  <c r="O29" i="37"/>
  <c r="O25" i="37"/>
  <c r="O30" i="37"/>
  <c r="O26" i="37"/>
  <c r="O31" i="37"/>
  <c r="O27" i="37"/>
  <c r="O23" i="37"/>
  <c r="O28" i="37"/>
  <c r="O24" i="37"/>
  <c r="J18" i="37"/>
  <c r="J17" i="37"/>
  <c r="M18" i="37"/>
  <c r="M17" i="37"/>
  <c r="I24" i="37"/>
  <c r="M32" i="37"/>
  <c r="J33" i="37"/>
  <c r="G48" i="37"/>
  <c r="J49" i="37"/>
  <c r="S100" i="37"/>
  <c r="T100" i="37" s="1"/>
  <c r="K23" i="37"/>
  <c r="D32" i="37"/>
  <c r="P32" i="37"/>
  <c r="K39" i="37"/>
  <c r="S98" i="37"/>
  <c r="T98" i="37" s="1"/>
  <c r="Q104" i="37" s="1"/>
  <c r="S99" i="37"/>
  <c r="T99" i="37" s="1"/>
  <c r="S104" i="37"/>
  <c r="T104" i="37" s="1"/>
  <c r="F105" i="37"/>
  <c r="L105" i="37" s="1"/>
  <c r="F108" i="37"/>
  <c r="L107" i="37" s="1"/>
  <c r="H23" i="37"/>
  <c r="G32" i="37"/>
  <c r="D33" i="37"/>
  <c r="P33" i="37"/>
  <c r="H39" i="37"/>
  <c r="D49" i="37"/>
  <c r="T96" i="37"/>
  <c r="Q102" i="37" s="1"/>
  <c r="S102" i="37"/>
  <c r="T102" i="37" s="1"/>
  <c r="S103" i="37"/>
  <c r="T103" i="37" s="1"/>
  <c r="F104" i="37"/>
  <c r="L104" i="37" s="1"/>
  <c r="F106" i="37"/>
  <c r="L106" i="37" s="1"/>
  <c r="E39" i="37"/>
  <c r="S97" i="37"/>
  <c r="T97" i="37" s="1"/>
  <c r="Q103" i="37" s="1"/>
  <c r="F102" i="37"/>
  <c r="L102" i="37" s="1"/>
  <c r="K40" i="35"/>
  <c r="K42" i="35"/>
  <c r="K43" i="35"/>
  <c r="K44" i="35"/>
  <c r="H40" i="35"/>
  <c r="H41" i="35"/>
  <c r="H42" i="35"/>
  <c r="H43" i="35"/>
  <c r="H44" i="35"/>
  <c r="H46" i="35"/>
  <c r="H47" i="35"/>
  <c r="E40" i="35"/>
  <c r="E41" i="35"/>
  <c r="E42" i="35"/>
  <c r="E44" i="35"/>
  <c r="E45" i="35"/>
  <c r="E46" i="35"/>
  <c r="E47" i="35"/>
  <c r="K39" i="35"/>
  <c r="E39" i="35"/>
  <c r="E24" i="35"/>
  <c r="E25" i="35"/>
  <c r="E26" i="35"/>
  <c r="E27" i="35"/>
  <c r="E28" i="35"/>
  <c r="E29" i="35"/>
  <c r="E30" i="35"/>
  <c r="E31" i="35"/>
  <c r="H25" i="35"/>
  <c r="H26" i="35"/>
  <c r="H27" i="35"/>
  <c r="H29" i="35"/>
  <c r="H30" i="35"/>
  <c r="H31" i="35"/>
  <c r="K24" i="35"/>
  <c r="K25" i="35"/>
  <c r="K27" i="35"/>
  <c r="K28" i="35"/>
  <c r="K29" i="35"/>
  <c r="K30" i="35"/>
  <c r="K31" i="35"/>
  <c r="N24" i="35"/>
  <c r="N25" i="35"/>
  <c r="N26" i="35"/>
  <c r="N27" i="35"/>
  <c r="N28" i="35"/>
  <c r="N29" i="35"/>
  <c r="N30" i="35"/>
  <c r="N31" i="35"/>
  <c r="Q24" i="35"/>
  <c r="Q25" i="35"/>
  <c r="Q26" i="35"/>
  <c r="Q27" i="35"/>
  <c r="Q28" i="35"/>
  <c r="Q29" i="35"/>
  <c r="Q30" i="35"/>
  <c r="Q31" i="35"/>
  <c r="E9" i="35"/>
  <c r="E10" i="35"/>
  <c r="E11" i="35"/>
  <c r="E12" i="35"/>
  <c r="E13" i="35"/>
  <c r="E15" i="35"/>
  <c r="E16" i="35"/>
  <c r="H9" i="35"/>
  <c r="H11" i="35"/>
  <c r="H12" i="35"/>
  <c r="H13" i="35"/>
  <c r="H14" i="35"/>
  <c r="H15" i="35"/>
  <c r="H16" i="35"/>
  <c r="K10" i="35"/>
  <c r="K11" i="35"/>
  <c r="K12" i="35"/>
  <c r="K13" i="35"/>
  <c r="K14" i="35"/>
  <c r="K15" i="35"/>
  <c r="K16" i="35"/>
  <c r="N9" i="35"/>
  <c r="N10" i="35"/>
  <c r="N11" i="35"/>
  <c r="N12" i="35"/>
  <c r="N13" i="35"/>
  <c r="N14" i="35"/>
  <c r="N15" i="35"/>
  <c r="N16" i="35"/>
  <c r="Q9" i="35"/>
  <c r="Q10" i="35"/>
  <c r="Q11" i="35"/>
  <c r="Q12" i="35"/>
  <c r="Q13" i="35"/>
  <c r="Q14" i="35"/>
  <c r="Q15" i="35"/>
  <c r="Q16" i="35"/>
  <c r="N8" i="35"/>
  <c r="K8" i="35"/>
  <c r="E8" i="35"/>
  <c r="I100" i="35"/>
  <c r="K46" i="35"/>
  <c r="K107" i="35"/>
  <c r="J107" i="35"/>
  <c r="I107" i="35"/>
  <c r="Q106" i="35"/>
  <c r="P106" i="35"/>
  <c r="N106" i="35"/>
  <c r="K106" i="35"/>
  <c r="Q105" i="35"/>
  <c r="K105" i="35"/>
  <c r="K104" i="35"/>
  <c r="K103" i="35"/>
  <c r="I103" i="35"/>
  <c r="K102" i="35"/>
  <c r="Q101" i="35"/>
  <c r="K101" i="35"/>
  <c r="Q100" i="35"/>
  <c r="P100" i="35"/>
  <c r="N100" i="35"/>
  <c r="K100" i="35"/>
  <c r="J100" i="35"/>
  <c r="D99" i="35"/>
  <c r="S96" i="35"/>
  <c r="S101" i="35" s="1"/>
  <c r="T101" i="35" s="1"/>
  <c r="K47" i="35"/>
  <c r="K45" i="35"/>
  <c r="H45" i="35"/>
  <c r="E43" i="35"/>
  <c r="K41" i="35"/>
  <c r="L38" i="35"/>
  <c r="I38" i="35"/>
  <c r="F38" i="35"/>
  <c r="H28" i="35"/>
  <c r="K26" i="35"/>
  <c r="H24" i="35"/>
  <c r="R22" i="35"/>
  <c r="O22" i="35"/>
  <c r="L22" i="35"/>
  <c r="I22" i="35"/>
  <c r="F22" i="35"/>
  <c r="E14" i="35"/>
  <c r="H10" i="35"/>
  <c r="K9" i="35"/>
  <c r="R7" i="35"/>
  <c r="O7" i="35"/>
  <c r="L7" i="35"/>
  <c r="I7" i="35"/>
  <c r="F7" i="35"/>
  <c r="I23" i="37" l="1"/>
  <c r="I28" i="37"/>
  <c r="I46" i="37"/>
  <c r="I29" i="37"/>
  <c r="I27" i="37"/>
  <c r="I26" i="37"/>
  <c r="I31" i="37"/>
  <c r="I30" i="37"/>
  <c r="L22" i="39"/>
  <c r="I44" i="39"/>
  <c r="O22" i="39"/>
  <c r="O24" i="39"/>
  <c r="O26" i="39"/>
  <c r="O28" i="39"/>
  <c r="O23" i="39"/>
  <c r="E109" i="46"/>
  <c r="E111" i="46" s="1"/>
  <c r="P100" i="46" s="1"/>
  <c r="N99" i="46" s="1"/>
  <c r="P99" i="46" s="1"/>
  <c r="O100" i="46"/>
  <c r="E98" i="42"/>
  <c r="L27" i="39"/>
  <c r="F28" i="39"/>
  <c r="E98" i="44"/>
  <c r="E104" i="44"/>
  <c r="E100" i="44"/>
  <c r="E102" i="44"/>
  <c r="E97" i="44"/>
  <c r="E99" i="44"/>
  <c r="D107" i="44"/>
  <c r="D108" i="44"/>
  <c r="D106" i="44"/>
  <c r="E101" i="44"/>
  <c r="E103" i="44"/>
  <c r="E101" i="42"/>
  <c r="E103" i="42"/>
  <c r="E100" i="42"/>
  <c r="E102" i="42"/>
  <c r="E104" i="42"/>
  <c r="E97" i="42"/>
  <c r="E99" i="42"/>
  <c r="D107" i="42"/>
  <c r="D108" i="42"/>
  <c r="D106" i="42"/>
  <c r="D106" i="41"/>
  <c r="D108" i="41"/>
  <c r="E101" i="41"/>
  <c r="E103" i="41"/>
  <c r="E98" i="41"/>
  <c r="E100" i="41"/>
  <c r="E102" i="41"/>
  <c r="E104" i="41"/>
  <c r="E97" i="41"/>
  <c r="E99" i="41"/>
  <c r="F27" i="39"/>
  <c r="L29" i="39"/>
  <c r="F26" i="39"/>
  <c r="D100" i="37"/>
  <c r="D110" i="37" s="1"/>
  <c r="F29" i="39"/>
  <c r="R24" i="39"/>
  <c r="I38" i="39"/>
  <c r="I39" i="39"/>
  <c r="I40" i="39"/>
  <c r="I37" i="39"/>
  <c r="R22" i="39"/>
  <c r="L28" i="39"/>
  <c r="L26" i="39"/>
  <c r="L105" i="39"/>
  <c r="F43" i="39"/>
  <c r="F39" i="39"/>
  <c r="F42" i="39"/>
  <c r="F38" i="39"/>
  <c r="F41" i="39"/>
  <c r="F37" i="39"/>
  <c r="F44" i="39"/>
  <c r="F40" i="39"/>
  <c r="R26" i="39"/>
  <c r="R28" i="39"/>
  <c r="I41" i="39"/>
  <c r="I43" i="39"/>
  <c r="F22" i="39"/>
  <c r="F24" i="39"/>
  <c r="F14" i="39"/>
  <c r="F10" i="39"/>
  <c r="F15" i="39"/>
  <c r="F12" i="39"/>
  <c r="F13" i="39"/>
  <c r="F11" i="39"/>
  <c r="F9" i="39"/>
  <c r="F8" i="39"/>
  <c r="L23" i="39"/>
  <c r="L25" i="39"/>
  <c r="L41" i="39"/>
  <c r="L37" i="39"/>
  <c r="L44" i="39"/>
  <c r="L40" i="39"/>
  <c r="L43" i="39"/>
  <c r="L39" i="39"/>
  <c r="L42" i="39"/>
  <c r="L38" i="39"/>
  <c r="R14" i="39"/>
  <c r="R10" i="39"/>
  <c r="R15" i="39"/>
  <c r="R12" i="39"/>
  <c r="R8" i="39"/>
  <c r="R11" i="39"/>
  <c r="R9" i="39"/>
  <c r="R13" i="39"/>
  <c r="R25" i="39"/>
  <c r="R23" i="39"/>
  <c r="I13" i="39"/>
  <c r="I9" i="39"/>
  <c r="I14" i="39"/>
  <c r="I15" i="39"/>
  <c r="I11" i="39"/>
  <c r="I12" i="39"/>
  <c r="I10" i="39"/>
  <c r="I8" i="39"/>
  <c r="R29" i="39"/>
  <c r="R27" i="39"/>
  <c r="I42" i="39"/>
  <c r="L12" i="39"/>
  <c r="L8" i="39"/>
  <c r="L13" i="39"/>
  <c r="L14" i="39"/>
  <c r="L10" i="39"/>
  <c r="L15" i="39"/>
  <c r="L11" i="39"/>
  <c r="L9" i="39"/>
  <c r="F25" i="39"/>
  <c r="L24" i="39"/>
  <c r="I26" i="39"/>
  <c r="I22" i="39"/>
  <c r="I27" i="39"/>
  <c r="I23" i="39"/>
  <c r="I28" i="39"/>
  <c r="I24" i="39"/>
  <c r="I29" i="39"/>
  <c r="I25" i="39"/>
  <c r="D97" i="39"/>
  <c r="O15" i="39"/>
  <c r="O11" i="39"/>
  <c r="O13" i="39"/>
  <c r="O9" i="39"/>
  <c r="O14" i="39"/>
  <c r="O12" i="39"/>
  <c r="O10" i="39"/>
  <c r="O8" i="39"/>
  <c r="L108" i="37"/>
  <c r="R28" i="37"/>
  <c r="R24" i="37"/>
  <c r="R29" i="37"/>
  <c r="R25" i="37"/>
  <c r="R30" i="37"/>
  <c r="R26" i="37"/>
  <c r="R31" i="37"/>
  <c r="R27" i="37"/>
  <c r="R23" i="37"/>
  <c r="L30" i="37"/>
  <c r="L26" i="37"/>
  <c r="L31" i="37"/>
  <c r="L27" i="37"/>
  <c r="L23" i="37"/>
  <c r="L28" i="37"/>
  <c r="L24" i="37"/>
  <c r="L29" i="37"/>
  <c r="L25" i="37"/>
  <c r="I41" i="37"/>
  <c r="I39" i="37"/>
  <c r="L13" i="37"/>
  <c r="L14" i="37"/>
  <c r="L15" i="37"/>
  <c r="L11" i="37"/>
  <c r="L16" i="37"/>
  <c r="L10" i="37"/>
  <c r="L12" i="37"/>
  <c r="L8" i="37"/>
  <c r="L9" i="37"/>
  <c r="R15" i="37"/>
  <c r="R11" i="37"/>
  <c r="R16" i="37"/>
  <c r="R12" i="37"/>
  <c r="R13" i="37"/>
  <c r="R14" i="37"/>
  <c r="R9" i="37"/>
  <c r="R8" i="37"/>
  <c r="R10" i="37"/>
  <c r="F28" i="37"/>
  <c r="F24" i="37"/>
  <c r="F29" i="37"/>
  <c r="F25" i="37"/>
  <c r="F30" i="37"/>
  <c r="F26" i="37"/>
  <c r="F31" i="37"/>
  <c r="F27" i="37"/>
  <c r="F23" i="37"/>
  <c r="O16" i="37"/>
  <c r="O12" i="37"/>
  <c r="O13" i="37"/>
  <c r="O14" i="37"/>
  <c r="O15" i="37"/>
  <c r="O9" i="37"/>
  <c r="O10" i="37"/>
  <c r="O11" i="37"/>
  <c r="O8" i="37"/>
  <c r="I45" i="37"/>
  <c r="I43" i="37"/>
  <c r="F46" i="37"/>
  <c r="F42" i="37"/>
  <c r="F45" i="37"/>
  <c r="F41" i="37"/>
  <c r="F44" i="37"/>
  <c r="F40" i="37"/>
  <c r="F47" i="37"/>
  <c r="F43" i="37"/>
  <c r="F39" i="37"/>
  <c r="L44" i="37"/>
  <c r="L40" i="37"/>
  <c r="L47" i="37"/>
  <c r="L43" i="37"/>
  <c r="L39" i="37"/>
  <c r="L46" i="37"/>
  <c r="L42" i="37"/>
  <c r="L45" i="37"/>
  <c r="L41" i="37"/>
  <c r="I40" i="37"/>
  <c r="I42" i="37"/>
  <c r="I47" i="37"/>
  <c r="I14" i="37"/>
  <c r="I15" i="37"/>
  <c r="I11" i="37"/>
  <c r="I16" i="37"/>
  <c r="I12" i="37"/>
  <c r="I13" i="37"/>
  <c r="I10" i="37"/>
  <c r="I8" i="37"/>
  <c r="I9" i="37"/>
  <c r="I44" i="37"/>
  <c r="F15" i="37"/>
  <c r="F11" i="37"/>
  <c r="F16" i="37"/>
  <c r="F12" i="37"/>
  <c r="F13" i="37"/>
  <c r="F14" i="37"/>
  <c r="F8" i="37"/>
  <c r="F9" i="37"/>
  <c r="F10" i="37"/>
  <c r="J104" i="35"/>
  <c r="D107" i="35"/>
  <c r="M33" i="35"/>
  <c r="G32" i="35"/>
  <c r="D33" i="35"/>
  <c r="P33" i="35"/>
  <c r="D17" i="35"/>
  <c r="J33" i="35"/>
  <c r="D48" i="35"/>
  <c r="P17" i="35"/>
  <c r="Q8" i="35"/>
  <c r="G49" i="35"/>
  <c r="N23" i="35"/>
  <c r="D105" i="35"/>
  <c r="D108" i="35"/>
  <c r="D102" i="35"/>
  <c r="D104" i="35"/>
  <c r="D106" i="35"/>
  <c r="D18" i="35"/>
  <c r="F15" i="35" s="1"/>
  <c r="D101" i="35"/>
  <c r="E99" i="35"/>
  <c r="H8" i="35"/>
  <c r="G18" i="35"/>
  <c r="G17" i="35"/>
  <c r="M18" i="35"/>
  <c r="M17" i="35"/>
  <c r="D103" i="35"/>
  <c r="J18" i="35"/>
  <c r="J17" i="35"/>
  <c r="P18" i="35"/>
  <c r="J32" i="35"/>
  <c r="G33" i="35"/>
  <c r="I30" i="35" s="1"/>
  <c r="G48" i="35"/>
  <c r="J49" i="35"/>
  <c r="S100" i="35"/>
  <c r="T100" i="35" s="1"/>
  <c r="K23" i="35"/>
  <c r="M32" i="35"/>
  <c r="J48" i="35"/>
  <c r="S98" i="35"/>
  <c r="T98" i="35" s="1"/>
  <c r="Q104" i="35" s="1"/>
  <c r="S99" i="35"/>
  <c r="T99" i="35" s="1"/>
  <c r="S104" i="35"/>
  <c r="T104" i="35" s="1"/>
  <c r="H23" i="35"/>
  <c r="D32" i="35"/>
  <c r="P32" i="35"/>
  <c r="D49" i="35"/>
  <c r="F46" i="35" s="1"/>
  <c r="T96" i="35"/>
  <c r="Q102" i="35" s="1"/>
  <c r="S102" i="35"/>
  <c r="T102" i="35" s="1"/>
  <c r="S103" i="35"/>
  <c r="T103" i="35" s="1"/>
  <c r="E23" i="35"/>
  <c r="Q23" i="35"/>
  <c r="H39" i="35"/>
  <c r="S97" i="35"/>
  <c r="T97" i="35" s="1"/>
  <c r="Q103" i="35" s="1"/>
  <c r="K44" i="32"/>
  <c r="K43" i="32"/>
  <c r="H39" i="32"/>
  <c r="H42" i="32"/>
  <c r="E42" i="32"/>
  <c r="Q27" i="32"/>
  <c r="N23" i="32"/>
  <c r="N27" i="32"/>
  <c r="N28" i="32"/>
  <c r="N29" i="32"/>
  <c r="K23" i="32"/>
  <c r="K25" i="32"/>
  <c r="K28" i="32"/>
  <c r="H23" i="32"/>
  <c r="H24" i="32"/>
  <c r="H25" i="32"/>
  <c r="H27" i="32"/>
  <c r="H28" i="32"/>
  <c r="H29" i="32"/>
  <c r="E25" i="32"/>
  <c r="E27" i="32"/>
  <c r="E29" i="32"/>
  <c r="Q14" i="32"/>
  <c r="Q8" i="32"/>
  <c r="N9" i="32"/>
  <c r="N13" i="32"/>
  <c r="N14" i="32"/>
  <c r="N15" i="32"/>
  <c r="K9" i="32"/>
  <c r="K11" i="32"/>
  <c r="K12" i="32"/>
  <c r="K13" i="32"/>
  <c r="K15" i="32"/>
  <c r="H9" i="32"/>
  <c r="H10" i="32"/>
  <c r="H11" i="32"/>
  <c r="H12" i="32"/>
  <c r="H13" i="32"/>
  <c r="H14" i="32"/>
  <c r="H15" i="32"/>
  <c r="E13" i="32"/>
  <c r="E9" i="32"/>
  <c r="E12" i="32"/>
  <c r="E14" i="32"/>
  <c r="E15" i="32"/>
  <c r="K104" i="32"/>
  <c r="J104" i="32"/>
  <c r="I104" i="32"/>
  <c r="Q103" i="32"/>
  <c r="P103" i="32"/>
  <c r="N103" i="32"/>
  <c r="K103" i="32"/>
  <c r="J103" i="32"/>
  <c r="I103" i="32"/>
  <c r="K98" i="32"/>
  <c r="J98" i="32"/>
  <c r="I98" i="32"/>
  <c r="Q97" i="32"/>
  <c r="P97" i="32"/>
  <c r="N97" i="32"/>
  <c r="K97" i="32"/>
  <c r="J97" i="32"/>
  <c r="I97" i="32"/>
  <c r="D96" i="32"/>
  <c r="S93" i="32"/>
  <c r="S98" i="32" s="1"/>
  <c r="T98" i="32" s="1"/>
  <c r="H44" i="32"/>
  <c r="E44" i="32"/>
  <c r="H43" i="32"/>
  <c r="E43" i="32"/>
  <c r="K42" i="32"/>
  <c r="K41" i="32"/>
  <c r="H41" i="32"/>
  <c r="E41" i="32"/>
  <c r="H40" i="32"/>
  <c r="E40" i="32"/>
  <c r="K39" i="32"/>
  <c r="E39" i="32"/>
  <c r="K38" i="32"/>
  <c r="K37" i="32"/>
  <c r="H37" i="32"/>
  <c r="E37" i="32"/>
  <c r="L36" i="32"/>
  <c r="I36" i="32"/>
  <c r="F36" i="32"/>
  <c r="Q29" i="32"/>
  <c r="K29" i="32"/>
  <c r="Q28" i="32"/>
  <c r="E28" i="32"/>
  <c r="K27" i="32"/>
  <c r="Q26" i="32"/>
  <c r="N26" i="32"/>
  <c r="K26" i="32"/>
  <c r="H26" i="32"/>
  <c r="E26" i="32"/>
  <c r="Q25" i="32"/>
  <c r="N25" i="32"/>
  <c r="Q24" i="32"/>
  <c r="E24" i="32"/>
  <c r="Q23" i="32"/>
  <c r="Q22" i="32"/>
  <c r="N22" i="32"/>
  <c r="K22" i="32"/>
  <c r="H22" i="32"/>
  <c r="E22" i="32"/>
  <c r="R21" i="32"/>
  <c r="O21" i="32"/>
  <c r="L21" i="32"/>
  <c r="I21" i="32"/>
  <c r="F21" i="32"/>
  <c r="Q15" i="32"/>
  <c r="K14" i="32"/>
  <c r="Q13" i="32"/>
  <c r="Q12" i="32"/>
  <c r="N12" i="32"/>
  <c r="Q11" i="32"/>
  <c r="N11" i="32"/>
  <c r="K10" i="32"/>
  <c r="E10" i="32"/>
  <c r="Q9" i="32"/>
  <c r="N8" i="32"/>
  <c r="K8" i="32"/>
  <c r="E8" i="32"/>
  <c r="R7" i="32"/>
  <c r="O7" i="32"/>
  <c r="L7" i="32"/>
  <c r="I7" i="32"/>
  <c r="F7" i="32"/>
  <c r="D111" i="37" l="1"/>
  <c r="D112" i="37"/>
  <c r="R15" i="35"/>
  <c r="J45" i="32"/>
  <c r="N100" i="46"/>
  <c r="P101" i="46" s="1"/>
  <c r="N101" i="46" s="1"/>
  <c r="M101" i="46" s="1"/>
  <c r="D31" i="32"/>
  <c r="F24" i="32" s="1"/>
  <c r="J16" i="32"/>
  <c r="M17" i="32"/>
  <c r="O12" i="32" s="1"/>
  <c r="P16" i="32"/>
  <c r="D30" i="32"/>
  <c r="J30" i="32"/>
  <c r="M30" i="32"/>
  <c r="P31" i="32"/>
  <c r="D45" i="32"/>
  <c r="G45" i="32"/>
  <c r="J46" i="32"/>
  <c r="L39" i="32" s="1"/>
  <c r="E23" i="32"/>
  <c r="N10" i="32"/>
  <c r="J31" i="32"/>
  <c r="E38" i="32"/>
  <c r="D98" i="32" s="1"/>
  <c r="K40" i="32"/>
  <c r="E102" i="37"/>
  <c r="Q10" i="32"/>
  <c r="D99" i="32" s="1"/>
  <c r="K24" i="32"/>
  <c r="M31" i="32"/>
  <c r="O26" i="32" s="1"/>
  <c r="H38" i="32"/>
  <c r="O29" i="35"/>
  <c r="N24" i="32"/>
  <c r="E108" i="37"/>
  <c r="E105" i="37"/>
  <c r="E107" i="37"/>
  <c r="G103" i="46"/>
  <c r="M102" i="46"/>
  <c r="M97" i="46"/>
  <c r="G102" i="46"/>
  <c r="M98" i="46"/>
  <c r="G97" i="46"/>
  <c r="M104" i="46"/>
  <c r="M99" i="46"/>
  <c r="G104" i="46"/>
  <c r="M103" i="46"/>
  <c r="E106" i="37"/>
  <c r="E103" i="37"/>
  <c r="E107" i="44"/>
  <c r="E108" i="44"/>
  <c r="E106" i="44"/>
  <c r="E107" i="42"/>
  <c r="E108" i="42"/>
  <c r="E106" i="42"/>
  <c r="E107" i="41"/>
  <c r="E108" i="41"/>
  <c r="E106" i="41"/>
  <c r="J17" i="32"/>
  <c r="L14" i="32" s="1"/>
  <c r="M16" i="32"/>
  <c r="P17" i="32"/>
  <c r="R8" i="32" s="1"/>
  <c r="G31" i="32"/>
  <c r="I24" i="32" s="1"/>
  <c r="E101" i="37"/>
  <c r="E104" i="37"/>
  <c r="E98" i="39"/>
  <c r="D107" i="39"/>
  <c r="D108" i="39"/>
  <c r="D106" i="39"/>
  <c r="E100" i="39"/>
  <c r="E99" i="39"/>
  <c r="E103" i="39"/>
  <c r="E102" i="39"/>
  <c r="E97" i="39"/>
  <c r="E101" i="39"/>
  <c r="E104" i="39"/>
  <c r="E100" i="37"/>
  <c r="D46" i="32"/>
  <c r="G46" i="32"/>
  <c r="G30" i="32"/>
  <c r="I46" i="35"/>
  <c r="F28" i="35"/>
  <c r="L26" i="35"/>
  <c r="O30" i="35"/>
  <c r="L46" i="35"/>
  <c r="I15" i="35"/>
  <c r="I47" i="35"/>
  <c r="O15" i="35"/>
  <c r="R30" i="35"/>
  <c r="L27" i="35"/>
  <c r="L30" i="35"/>
  <c r="F30" i="35"/>
  <c r="R29" i="35"/>
  <c r="L25" i="35"/>
  <c r="F23" i="35"/>
  <c r="L23" i="35"/>
  <c r="L15" i="35"/>
  <c r="F29" i="35"/>
  <c r="L29" i="35"/>
  <c r="L31" i="35"/>
  <c r="F27" i="35"/>
  <c r="D100" i="35"/>
  <c r="D111" i="35" s="1"/>
  <c r="L28" i="35"/>
  <c r="F25" i="35"/>
  <c r="I27" i="35"/>
  <c r="I23" i="35"/>
  <c r="I28" i="35"/>
  <c r="I24" i="35"/>
  <c r="I29" i="35"/>
  <c r="I25" i="35"/>
  <c r="I31" i="35"/>
  <c r="I26" i="35"/>
  <c r="L12" i="35"/>
  <c r="L8" i="35"/>
  <c r="L13" i="35"/>
  <c r="L9" i="35"/>
  <c r="L14" i="35"/>
  <c r="L10" i="35"/>
  <c r="L16" i="35"/>
  <c r="L11" i="35"/>
  <c r="R26" i="35"/>
  <c r="R24" i="35"/>
  <c r="F26" i="35"/>
  <c r="F24" i="35"/>
  <c r="O16" i="35"/>
  <c r="O11" i="35"/>
  <c r="O12" i="35"/>
  <c r="O13" i="35"/>
  <c r="O9" i="35"/>
  <c r="O14" i="35"/>
  <c r="O10" i="35"/>
  <c r="O8" i="35"/>
  <c r="I39" i="35"/>
  <c r="I41" i="35"/>
  <c r="O24" i="35"/>
  <c r="O26" i="35"/>
  <c r="L24" i="35"/>
  <c r="R31" i="35"/>
  <c r="R28" i="35"/>
  <c r="F31" i="35"/>
  <c r="I43" i="35"/>
  <c r="I45" i="35"/>
  <c r="O28" i="35"/>
  <c r="O31" i="35"/>
  <c r="F45" i="35"/>
  <c r="F41" i="35"/>
  <c r="F44" i="35"/>
  <c r="F40" i="35"/>
  <c r="F43" i="35"/>
  <c r="F39" i="35"/>
  <c r="F47" i="35"/>
  <c r="F42" i="35"/>
  <c r="L43" i="35"/>
  <c r="L39" i="35"/>
  <c r="L47" i="35"/>
  <c r="L42" i="35"/>
  <c r="L45" i="35"/>
  <c r="L41" i="35"/>
  <c r="L44" i="35"/>
  <c r="L40" i="35"/>
  <c r="R14" i="35"/>
  <c r="R10" i="35"/>
  <c r="R16" i="35"/>
  <c r="R11" i="35"/>
  <c r="R12" i="35"/>
  <c r="R13" i="35"/>
  <c r="R9" i="35"/>
  <c r="R8" i="35"/>
  <c r="R23" i="35"/>
  <c r="R25" i="35"/>
  <c r="I13" i="35"/>
  <c r="I9" i="35"/>
  <c r="I14" i="35"/>
  <c r="I10" i="35"/>
  <c r="I16" i="35"/>
  <c r="I11" i="35"/>
  <c r="I12" i="35"/>
  <c r="I8" i="35"/>
  <c r="F14" i="35"/>
  <c r="F10" i="35"/>
  <c r="F16" i="35"/>
  <c r="F11" i="35"/>
  <c r="F12" i="35"/>
  <c r="F13" i="35"/>
  <c r="F9" i="35"/>
  <c r="F8" i="35"/>
  <c r="I40" i="35"/>
  <c r="I42" i="35"/>
  <c r="O23" i="35"/>
  <c r="O25" i="35"/>
  <c r="R27" i="35"/>
  <c r="I44" i="35"/>
  <c r="O27" i="35"/>
  <c r="O28" i="32"/>
  <c r="O22" i="32"/>
  <c r="O24" i="32"/>
  <c r="L26" i="32"/>
  <c r="L24" i="32"/>
  <c r="L28" i="32"/>
  <c r="D103" i="32"/>
  <c r="D101" i="32"/>
  <c r="D102" i="32"/>
  <c r="G17" i="32"/>
  <c r="G16" i="32"/>
  <c r="H8" i="32"/>
  <c r="D97" i="32" s="1"/>
  <c r="D17" i="32"/>
  <c r="D16" i="32"/>
  <c r="E11" i="32"/>
  <c r="D104" i="32"/>
  <c r="O13" i="32"/>
  <c r="O23" i="32"/>
  <c r="L25" i="32"/>
  <c r="O27" i="32"/>
  <c r="L29" i="32"/>
  <c r="F37" i="32"/>
  <c r="L37" i="32"/>
  <c r="E96" i="32"/>
  <c r="S97" i="32"/>
  <c r="T97" i="32" s="1"/>
  <c r="Q102" i="32" s="1"/>
  <c r="S95" i="32"/>
  <c r="T95" i="32" s="1"/>
  <c r="S96" i="32"/>
  <c r="T96" i="32" s="1"/>
  <c r="S101" i="32"/>
  <c r="T101" i="32" s="1"/>
  <c r="L23" i="32"/>
  <c r="I25" i="32"/>
  <c r="O25" i="32"/>
  <c r="L27" i="32"/>
  <c r="O29" i="32"/>
  <c r="P30" i="32"/>
  <c r="L38" i="32"/>
  <c r="F40" i="32"/>
  <c r="T93" i="32"/>
  <c r="S99" i="32"/>
  <c r="T99" i="32" s="1"/>
  <c r="S100" i="32"/>
  <c r="T100" i="32" s="1"/>
  <c r="L22" i="32"/>
  <c r="S94" i="32"/>
  <c r="T94" i="32" s="1"/>
  <c r="L44" i="32" l="1"/>
  <c r="L43" i="32"/>
  <c r="G99" i="46"/>
  <c r="L40" i="32"/>
  <c r="L41" i="32"/>
  <c r="O15" i="32"/>
  <c r="M100" i="46"/>
  <c r="O11" i="32"/>
  <c r="L8" i="32"/>
  <c r="O10" i="32"/>
  <c r="L42" i="32"/>
  <c r="L15" i="32"/>
  <c r="I43" i="32"/>
  <c r="L13" i="32"/>
  <c r="F42" i="32"/>
  <c r="D100" i="32"/>
  <c r="D108" i="32" s="1"/>
  <c r="R23" i="32"/>
  <c r="I27" i="32"/>
  <c r="R10" i="32"/>
  <c r="R15" i="32"/>
  <c r="L11" i="32"/>
  <c r="L10" i="32"/>
  <c r="I28" i="32"/>
  <c r="L12" i="32"/>
  <c r="G100" i="46"/>
  <c r="I29" i="32"/>
  <c r="L9" i="32"/>
  <c r="F41" i="32"/>
  <c r="G98" i="46"/>
  <c r="R100" i="46" s="1"/>
  <c r="G101" i="46"/>
  <c r="R101" i="46" s="1"/>
  <c r="F25" i="32"/>
  <c r="I23" i="32"/>
  <c r="I22" i="32"/>
  <c r="I26" i="32"/>
  <c r="I41" i="32"/>
  <c r="Q99" i="32"/>
  <c r="K100" i="32"/>
  <c r="F38" i="32"/>
  <c r="R13" i="32"/>
  <c r="R9" i="32"/>
  <c r="Q100" i="32"/>
  <c r="K101" i="32"/>
  <c r="F43" i="32"/>
  <c r="F39" i="32"/>
  <c r="R12" i="32"/>
  <c r="F44" i="32"/>
  <c r="Q98" i="32"/>
  <c r="K99" i="32"/>
  <c r="Q101" i="32"/>
  <c r="K102" i="32"/>
  <c r="F23" i="32"/>
  <c r="I40" i="32"/>
  <c r="F22" i="32"/>
  <c r="F29" i="32"/>
  <c r="I39" i="32"/>
  <c r="I44" i="32"/>
  <c r="O9" i="32"/>
  <c r="I42" i="32"/>
  <c r="F26" i="32"/>
  <c r="F27" i="32"/>
  <c r="F28" i="32"/>
  <c r="I10" i="32"/>
  <c r="E111" i="37"/>
  <c r="O14" i="32"/>
  <c r="E109" i="42"/>
  <c r="E111" i="42" s="1"/>
  <c r="N100" i="42" s="1"/>
  <c r="P101" i="42" s="1"/>
  <c r="N101" i="42" s="1"/>
  <c r="I37" i="32"/>
  <c r="R11" i="32"/>
  <c r="O8" i="32"/>
  <c r="I38" i="32"/>
  <c r="R14" i="32"/>
  <c r="F10" i="32"/>
  <c r="R97" i="46"/>
  <c r="E109" i="44"/>
  <c r="E111" i="44" s="1"/>
  <c r="O100" i="44"/>
  <c r="P100" i="42"/>
  <c r="N99" i="42" s="1"/>
  <c r="P99" i="42" s="1"/>
  <c r="O100" i="42"/>
  <c r="E109" i="41"/>
  <c r="E111" i="41" s="1"/>
  <c r="N100" i="41" s="1"/>
  <c r="P101" i="41" s="1"/>
  <c r="N101" i="41" s="1"/>
  <c r="O100" i="41"/>
  <c r="E107" i="39"/>
  <c r="E108" i="39"/>
  <c r="E106" i="39"/>
  <c r="E110" i="37"/>
  <c r="O103" i="37" s="1"/>
  <c r="E112" i="37"/>
  <c r="E107" i="35"/>
  <c r="E106" i="35"/>
  <c r="D112" i="35"/>
  <c r="D110" i="35"/>
  <c r="E100" i="35"/>
  <c r="E108" i="35"/>
  <c r="E101" i="35"/>
  <c r="E105" i="35"/>
  <c r="E102" i="35"/>
  <c r="E104" i="35"/>
  <c r="E103" i="35"/>
  <c r="I12" i="32"/>
  <c r="I8" i="32"/>
  <c r="I11" i="32"/>
  <c r="F14" i="32"/>
  <c r="I15" i="32"/>
  <c r="I13" i="32"/>
  <c r="I14" i="32"/>
  <c r="F9" i="32"/>
  <c r="I9" i="32"/>
  <c r="F13" i="32"/>
  <c r="F12" i="32"/>
  <c r="F15" i="32"/>
  <c r="F8" i="32"/>
  <c r="F11" i="32"/>
  <c r="R24" i="32"/>
  <c r="R27" i="32"/>
  <c r="R22" i="32"/>
  <c r="R28" i="32"/>
  <c r="R26" i="32"/>
  <c r="R25" i="32"/>
  <c r="R29" i="32"/>
  <c r="D106" i="32" l="1"/>
  <c r="R102" i="46"/>
  <c r="R98" i="46"/>
  <c r="R99" i="46"/>
  <c r="D107" i="32"/>
  <c r="R103" i="46"/>
  <c r="E113" i="37"/>
  <c r="E115" i="37" s="1"/>
  <c r="P103" i="37" s="1"/>
  <c r="N102" i="37" s="1"/>
  <c r="P102" i="37" s="1"/>
  <c r="M102" i="37" s="1"/>
  <c r="E99" i="32"/>
  <c r="P100" i="44"/>
  <c r="N99" i="44" s="1"/>
  <c r="P99" i="44" s="1"/>
  <c r="N98" i="44" s="1"/>
  <c r="P98" i="44" s="1"/>
  <c r="M98" i="44" s="1"/>
  <c r="J100" i="44"/>
  <c r="I99" i="44" s="1"/>
  <c r="I101" i="44"/>
  <c r="J102" i="44" s="1"/>
  <c r="I102" i="44" s="1"/>
  <c r="N100" i="44"/>
  <c r="P101" i="44" s="1"/>
  <c r="N101" i="44" s="1"/>
  <c r="P102" i="44" s="1"/>
  <c r="N102" i="44" s="1"/>
  <c r="M97" i="44"/>
  <c r="M104" i="44"/>
  <c r="M103" i="44"/>
  <c r="G103" i="42"/>
  <c r="M102" i="42"/>
  <c r="G101" i="42"/>
  <c r="G100" i="42"/>
  <c r="M97" i="42"/>
  <c r="G102" i="42"/>
  <c r="M98" i="42"/>
  <c r="G97" i="42"/>
  <c r="M104" i="42"/>
  <c r="M99" i="42"/>
  <c r="G98" i="42"/>
  <c r="G104" i="42"/>
  <c r="M103" i="42"/>
  <c r="M101" i="42"/>
  <c r="M100" i="42"/>
  <c r="G99" i="42"/>
  <c r="P100" i="41"/>
  <c r="N99" i="41" s="1"/>
  <c r="P99" i="41" s="1"/>
  <c r="M99" i="41" s="1"/>
  <c r="M102" i="41"/>
  <c r="M97" i="41"/>
  <c r="M98" i="41"/>
  <c r="M104" i="41"/>
  <c r="M101" i="41"/>
  <c r="M103" i="41"/>
  <c r="E109" i="39"/>
  <c r="E111" i="39" s="1"/>
  <c r="P100" i="39" s="1"/>
  <c r="N99" i="39" s="1"/>
  <c r="P99" i="39" s="1"/>
  <c r="O100" i="39"/>
  <c r="M105" i="37"/>
  <c r="M100" i="37"/>
  <c r="M101" i="37"/>
  <c r="M107" i="37"/>
  <c r="M106" i="37"/>
  <c r="E111" i="35"/>
  <c r="E112" i="35"/>
  <c r="E110" i="35"/>
  <c r="E97" i="32"/>
  <c r="E98" i="32"/>
  <c r="E100" i="32"/>
  <c r="E103" i="32"/>
  <c r="E102" i="32"/>
  <c r="E101" i="32"/>
  <c r="E104" i="32"/>
  <c r="R104" i="46" l="1"/>
  <c r="N103" i="37"/>
  <c r="P104" i="37" s="1"/>
  <c r="N104" i="37" s="1"/>
  <c r="G100" i="41"/>
  <c r="R98" i="42"/>
  <c r="G105" i="37"/>
  <c r="G97" i="41"/>
  <c r="R103" i="42"/>
  <c r="R99" i="42"/>
  <c r="R101" i="42"/>
  <c r="G104" i="44"/>
  <c r="G103" i="44"/>
  <c r="G101" i="44"/>
  <c r="M102" i="44"/>
  <c r="J99" i="44"/>
  <c r="M99" i="44" s="1"/>
  <c r="F99" i="44"/>
  <c r="F103" i="44"/>
  <c r="F104" i="44"/>
  <c r="F98" i="44"/>
  <c r="F100" i="44"/>
  <c r="L100" i="44" s="1"/>
  <c r="F97" i="44"/>
  <c r="F102" i="44"/>
  <c r="F101" i="44"/>
  <c r="G102" i="44"/>
  <c r="G98" i="44"/>
  <c r="R98" i="44" s="1"/>
  <c r="M100" i="44"/>
  <c r="G99" i="44"/>
  <c r="G97" i="44"/>
  <c r="G100" i="44"/>
  <c r="M101" i="44"/>
  <c r="R97" i="42"/>
  <c r="R100" i="42"/>
  <c r="R102" i="42"/>
  <c r="M100" i="41"/>
  <c r="G98" i="41"/>
  <c r="R98" i="41" s="1"/>
  <c r="G101" i="41"/>
  <c r="G104" i="41"/>
  <c r="G102" i="41"/>
  <c r="G99" i="41"/>
  <c r="G103" i="41"/>
  <c r="N100" i="39"/>
  <c r="P101" i="39" s="1"/>
  <c r="N101" i="39" s="1"/>
  <c r="G98" i="39" s="1"/>
  <c r="G103" i="39"/>
  <c r="M102" i="39"/>
  <c r="M97" i="39"/>
  <c r="M98" i="39"/>
  <c r="M104" i="39"/>
  <c r="M99" i="39"/>
  <c r="G104" i="39"/>
  <c r="M103" i="39"/>
  <c r="M103" i="37"/>
  <c r="G104" i="37"/>
  <c r="G107" i="37"/>
  <c r="G108" i="37"/>
  <c r="G106" i="37"/>
  <c r="G103" i="37"/>
  <c r="M104" i="37"/>
  <c r="G101" i="37"/>
  <c r="G100" i="37"/>
  <c r="G102" i="37"/>
  <c r="E113" i="35"/>
  <c r="E115" i="35" s="1"/>
  <c r="O103" i="35"/>
  <c r="E108" i="32"/>
  <c r="E107" i="32"/>
  <c r="E106" i="32"/>
  <c r="I100" i="32" s="1"/>
  <c r="R103" i="41" l="1"/>
  <c r="R100" i="37"/>
  <c r="J101" i="32"/>
  <c r="R102" i="41"/>
  <c r="R100" i="41"/>
  <c r="R101" i="41"/>
  <c r="R97" i="41"/>
  <c r="R99" i="41"/>
  <c r="L97" i="44"/>
  <c r="L103" i="44"/>
  <c r="L99" i="44"/>
  <c r="L101" i="44"/>
  <c r="L98" i="44"/>
  <c r="L102" i="44"/>
  <c r="R103" i="44"/>
  <c r="R99" i="44"/>
  <c r="R100" i="44"/>
  <c r="R101" i="44"/>
  <c r="R97" i="44"/>
  <c r="R102" i="44"/>
  <c r="R104" i="42"/>
  <c r="G101" i="39"/>
  <c r="G97" i="39"/>
  <c r="G100" i="39"/>
  <c r="G102" i="39"/>
  <c r="M100" i="39"/>
  <c r="G99" i="39"/>
  <c r="M101" i="39"/>
  <c r="R101" i="37"/>
  <c r="R106" i="37"/>
  <c r="R104" i="37"/>
  <c r="R102" i="37"/>
  <c r="R105" i="37"/>
  <c r="R103" i="37"/>
  <c r="P103" i="35"/>
  <c r="N102" i="35" s="1"/>
  <c r="P102" i="35" s="1"/>
  <c r="N101" i="35" s="1"/>
  <c r="P101" i="35" s="1"/>
  <c r="J103" i="35"/>
  <c r="I102" i="35" s="1"/>
  <c r="I104" i="35"/>
  <c r="J105" i="35" s="1"/>
  <c r="I105" i="35" s="1"/>
  <c r="J106" i="35" s="1"/>
  <c r="I106" i="35" s="1"/>
  <c r="N103" i="35"/>
  <c r="P104" i="35" s="1"/>
  <c r="N104" i="35" s="1"/>
  <c r="M100" i="35"/>
  <c r="M107" i="35"/>
  <c r="M106" i="35"/>
  <c r="O100" i="32"/>
  <c r="M103" i="32" s="1"/>
  <c r="E109" i="32"/>
  <c r="E111" i="32" s="1"/>
  <c r="R99" i="39" l="1"/>
  <c r="R104" i="41"/>
  <c r="L105" i="44"/>
  <c r="R104" i="44"/>
  <c r="R97" i="39"/>
  <c r="R103" i="39"/>
  <c r="R98" i="39"/>
  <c r="R101" i="39"/>
  <c r="R100" i="39"/>
  <c r="R102" i="39"/>
  <c r="R107" i="37"/>
  <c r="G105" i="35"/>
  <c r="P105" i="35"/>
  <c r="N105" i="35" s="1"/>
  <c r="G100" i="35" s="1"/>
  <c r="R100" i="35" s="1"/>
  <c r="G102" i="35"/>
  <c r="G107" i="35"/>
  <c r="G108" i="35"/>
  <c r="G106" i="35"/>
  <c r="J102" i="35"/>
  <c r="M104" i="35"/>
  <c r="G103" i="35"/>
  <c r="M103" i="35"/>
  <c r="G101" i="35"/>
  <c r="G104" i="35"/>
  <c r="M104" i="32"/>
  <c r="J100" i="32"/>
  <c r="I101" i="32"/>
  <c r="M97" i="32"/>
  <c r="P100" i="32"/>
  <c r="N99" i="32" s="1"/>
  <c r="P99" i="32" s="1"/>
  <c r="N98" i="32" s="1"/>
  <c r="P98" i="32" s="1"/>
  <c r="M98" i="32" s="1"/>
  <c r="G98" i="32"/>
  <c r="N100" i="32"/>
  <c r="P101" i="32" s="1"/>
  <c r="N101" i="32" s="1"/>
  <c r="P102" i="32" s="1"/>
  <c r="N102" i="32" s="1"/>
  <c r="G103" i="32"/>
  <c r="R104" i="39" l="1"/>
  <c r="M105" i="35"/>
  <c r="M102" i="35"/>
  <c r="I101" i="35"/>
  <c r="R106" i="35"/>
  <c r="R105" i="35"/>
  <c r="R103" i="35"/>
  <c r="R104" i="35"/>
  <c r="R102" i="35"/>
  <c r="R101" i="35"/>
  <c r="J102" i="32"/>
  <c r="I102" i="32" s="1"/>
  <c r="I99" i="32"/>
  <c r="G97" i="32"/>
  <c r="G100" i="32"/>
  <c r="G99" i="32"/>
  <c r="G101" i="32"/>
  <c r="M100" i="32"/>
  <c r="G104" i="32"/>
  <c r="G102" i="32"/>
  <c r="M101" i="32"/>
  <c r="F97" i="32" l="1"/>
  <c r="J99" i="32"/>
  <c r="M99" i="32" s="1"/>
  <c r="F101" i="32"/>
  <c r="J101" i="35"/>
  <c r="M101" i="35" s="1"/>
  <c r="F108" i="35"/>
  <c r="F106" i="35"/>
  <c r="F105" i="35"/>
  <c r="F101" i="35"/>
  <c r="F103" i="35"/>
  <c r="F104" i="35"/>
  <c r="L104" i="35" s="1"/>
  <c r="F102" i="35"/>
  <c r="F107" i="35"/>
  <c r="F100" i="35"/>
  <c r="L100" i="35" s="1"/>
  <c r="R107" i="35"/>
  <c r="F98" i="32"/>
  <c r="F104" i="32"/>
  <c r="F102" i="32"/>
  <c r="F99" i="32"/>
  <c r="F103" i="32"/>
  <c r="R99" i="32"/>
  <c r="R100" i="32"/>
  <c r="R103" i="32"/>
  <c r="R101" i="32"/>
  <c r="R97" i="32"/>
  <c r="R102" i="32"/>
  <c r="R98" i="32"/>
  <c r="L102" i="35" l="1"/>
  <c r="L105" i="35"/>
  <c r="L106" i="35"/>
  <c r="L103" i="35"/>
  <c r="L107" i="35"/>
  <c r="L101" i="35"/>
  <c r="R104" i="32"/>
  <c r="L108" i="35" l="1"/>
  <c r="F100" i="32"/>
  <c r="M102" i="32"/>
  <c r="L100" i="32" l="1"/>
  <c r="B6" i="50"/>
  <c r="B9" i="50"/>
  <c r="B2" i="50"/>
  <c r="B5" i="50"/>
  <c r="B4" i="50"/>
  <c r="B3" i="50"/>
  <c r="B7" i="50"/>
  <c r="B8" i="50"/>
  <c r="L97" i="32"/>
  <c r="L103" i="32"/>
  <c r="L99" i="32"/>
  <c r="L102" i="32"/>
  <c r="L98" i="32"/>
  <c r="L101" i="32"/>
  <c r="L104" i="32"/>
  <c r="B10" i="50" l="1"/>
  <c r="L105" i="32"/>
</calcChain>
</file>

<file path=xl/sharedStrings.xml><?xml version="1.0" encoding="utf-8"?>
<sst xmlns="http://schemas.openxmlformats.org/spreadsheetml/2006/main" count="5418" uniqueCount="321">
  <si>
    <t>ชื่อ - สกุล</t>
  </si>
  <si>
    <t>Total</t>
  </si>
  <si>
    <t xml:space="preserve"> </t>
  </si>
  <si>
    <t>T-score</t>
  </si>
  <si>
    <t>Grade</t>
  </si>
  <si>
    <t>ลำดับ</t>
  </si>
  <si>
    <t>%</t>
  </si>
  <si>
    <t>จำนวนเกรด</t>
  </si>
  <si>
    <t>A</t>
  </si>
  <si>
    <t>Interval</t>
  </si>
  <si>
    <t>Grade สูงสุด</t>
  </si>
  <si>
    <t>คณะพยาบาลศาสตร์ มหาวิทยาลัยราชภัฏชัยภูมิ</t>
  </si>
  <si>
    <t>รหัสนักศึกษา</t>
  </si>
  <si>
    <t>Mean</t>
  </si>
  <si>
    <t>S.D.</t>
  </si>
  <si>
    <t>T-min</t>
  </si>
  <si>
    <t>T-max</t>
  </si>
  <si>
    <t>Raw</t>
  </si>
  <si>
    <t>Max</t>
  </si>
  <si>
    <t>Min</t>
  </si>
  <si>
    <t>Range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</si>
  <si>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</si>
  <si>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</si>
  <si>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</si>
  <si>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</si>
  <si>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</si>
  <si>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</si>
  <si>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</si>
  <si>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</si>
  <si>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</si>
  <si>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</si>
  <si>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</si>
  <si>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</si>
  <si>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</si>
  <si>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</si>
  <si>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</si>
  <si>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Grade คู่</t>
  </si>
  <si>
    <t>Grade คี่</t>
  </si>
  <si>
    <t>* กรณีเกรดจำนวนคู่ 2, 4, 6, 8 เกรด</t>
  </si>
  <si>
    <t>* กรณีเกรดจำนวนคี่ 1, 3, 5, 7 เกรด</t>
  </si>
  <si>
    <t>* ระบุจำนวนเกรด</t>
  </si>
  <si>
    <t>* ระบุระดับเกรดสูงสุด</t>
  </si>
  <si>
    <t>พัฒนาโดย อ.ธรณินทร์ คุณแขวน</t>
  </si>
  <si>
    <t>Linear Tscore V.1 29 พ.ค. 2556</t>
  </si>
  <si>
    <t>นางสาวดลยา  ธิวะโต</t>
  </si>
  <si>
    <t>นางสาวดวงสุดา คุ้มภัย</t>
  </si>
  <si>
    <t>นางสาวดารณี ศรีน้ำอ้อม</t>
  </si>
  <si>
    <t>นางสาวตะวัน  ซื่อตรง</t>
  </si>
  <si>
    <t>นางสาวนพมาศ  ศรีภูมิพฤกษ์</t>
  </si>
  <si>
    <t>นางสาวนรินธร   ปะวะโก</t>
  </si>
  <si>
    <t>นางสาวนันทนิต  บำรุงฤทธิ์</t>
  </si>
  <si>
    <t>นางสาวนิตยา   สุริทำนา</t>
  </si>
  <si>
    <t>Case conference</t>
  </si>
  <si>
    <t>จิตพิสัย</t>
  </si>
  <si>
    <t>แบบบันทึกคะแนนรายวิชา ปฏิบัติการพยาบาลครอบครัวและชุมชน 1   2(0-8-0) ภาคการศึกษาที่ 2 ปีการศึกษา 2557</t>
  </si>
  <si>
    <t>แหล่งฝึกชุมชน</t>
  </si>
  <si>
    <t>การให้บริการอนามัยครอบครัว</t>
  </si>
  <si>
    <t>ทักษะการเยี่ยมบ้าน</t>
  </si>
  <si>
    <t>รายงานบันทึกการเยี่ยมบ้าน</t>
  </si>
  <si>
    <t>รายงานการเยี่ยมบ้าน</t>
  </si>
  <si>
    <t>การให้บริการอนามัยโรงเรียน</t>
  </si>
  <si>
    <t>รายงานอนามัยโรงเรียน</t>
  </si>
  <si>
    <t>โครงการอนามัยโรงเรียน</t>
  </si>
  <si>
    <t>รายงานโครงการอนามัยโรงเรียน</t>
  </si>
  <si>
    <t>สอนสุขศึกษา</t>
  </si>
  <si>
    <t>รายงานการวางแผนครอบครัว</t>
  </si>
  <si>
    <t>Pre-Post test</t>
  </si>
  <si>
    <t>รพ.สต.นาเสียว</t>
  </si>
  <si>
    <t>นางสาวกมลชนก  บัวผัน</t>
  </si>
  <si>
    <t>นางสาวจิราภรณ์  แผ่นเงิน</t>
  </si>
  <si>
    <t>นายฐาปกรณ์  แก้วหยาด</t>
  </si>
  <si>
    <t>นางสาวธีรารัตน์  คลังภูเขียว</t>
  </si>
  <si>
    <t>นางสาวพิมพ์ชนก  คุณาพันธ์</t>
  </si>
  <si>
    <t>นางสาวรัตนา  กล่อมขุนทด</t>
  </si>
  <si>
    <t>นางสาวศุภรัตน์  ชื่นตะคุ</t>
  </si>
  <si>
    <t>นางสาวอนุชิดา  แสนแก้ว</t>
  </si>
  <si>
    <t>เลขที่</t>
  </si>
  <si>
    <t>รพ.สต.นาฝาย</t>
  </si>
  <si>
    <t>แหล่งฝึก โรงเรียนบ้านตาดโตน (คุรุประชาสามัคคี)</t>
  </si>
  <si>
    <r>
      <t>นักศึกษาพยาบาลศาสตรบัณฑิต  ชั้นปีที่  3  รุ่นที่  5  แหล่งฝึก ชุมชนบ้านตาดโตน หมู่ที่ 1 / โรงเรียนบ้านตาดโตน / รพ.สต. นาฝาย</t>
    </r>
    <r>
      <rPr>
        <b/>
        <sz val="14"/>
        <color rgb="FFFF0000"/>
        <rFont val="TH SarabunPSK"/>
        <family val="2"/>
      </rPr>
      <t xml:space="preserve">  กลุ่ม A1 อาจารย์นิเทศ อ.ภัททิรา ก้านทอง</t>
    </r>
  </si>
  <si>
    <t>นางสาวกรรณิการ์  อ่อนสกุล</t>
  </si>
  <si>
    <t>นางสาวจิราภรณ์  สวัสดิ์ศรี</t>
  </si>
  <si>
    <t>นางสาวฐิติมา  รินทอง</t>
  </si>
  <si>
    <t>นางสาวนริศรา  เสมอโชค</t>
  </si>
  <si>
    <t>นางสาวพิไลวรรณ  แขขุนทด</t>
  </si>
  <si>
    <t>นางสาวรินดา  ธุระแพง</t>
  </si>
  <si>
    <t>นางสาว ศุภลักษณ์  สุภพล</t>
  </si>
  <si>
    <t>นางสาวอภิชญา  ฟางชัยภูมิ</t>
  </si>
  <si>
    <r>
      <t>นักศึกษาพยาบาลศาสตรบัณฑิต  ชั้นปีที่  3  รุ่นที่  5  แหล่งฝึก ชุมชนบ้านตาดโตน หมู่ที่ 1 / โรงเรียนบ้านตาดโตน / รพ.สต. นาฝาย</t>
    </r>
    <r>
      <rPr>
        <b/>
        <sz val="14"/>
        <color rgb="FFFF0000"/>
        <rFont val="TH SarabunPSK"/>
        <family val="2"/>
      </rPr>
      <t xml:space="preserve">  กลุ่ม A2 อาจารย์นิเทศ อ.เพ็ญผกา กาญจโนภาส</t>
    </r>
  </si>
  <si>
    <t>แหล่งฝึก โรงเรียนบ้านนาฝาย</t>
  </si>
  <si>
    <t>นางสาวรัตนาภรณ์  แก้วคร</t>
  </si>
  <si>
    <t>นางสาวจารุวรรณ  จันทร์เล็ก</t>
  </si>
  <si>
    <t>นายชัยมงคล  ปะจุระเน</t>
  </si>
  <si>
    <t>นายธีระยุทธ  รักสุจริต</t>
  </si>
  <si>
    <t>นางสาวพัชรี  สุขใจ</t>
  </si>
  <si>
    <t>นางสาวยุคลพันธ์  คำจันทร์</t>
  </si>
  <si>
    <t>นางสาวศิริพร  พรมเวียง</t>
  </si>
  <si>
    <t>นางสาวหทัยรัตน์  พันธุ์โพธิ์</t>
  </si>
  <si>
    <t>นางสาวไอรดา  คณาโจทย์</t>
  </si>
  <si>
    <t>รพ.สต.ห้วยต้อน</t>
  </si>
  <si>
    <r>
      <t>นักศึกษาพยาบาลศาสตรบัณฑิต  ชั้นปีที่  3  รุ่นที่  5  แหล่งฝึก ชุมชนบ้านห้วยชัน หมู่ที่ 2 / โรงเรียนบ้านนาฝาย / รพ.สต. ห้วยต้อน</t>
    </r>
    <r>
      <rPr>
        <b/>
        <sz val="14"/>
        <color rgb="FFFF0000"/>
        <rFont val="TH SarabunPSK"/>
        <family val="2"/>
      </rPr>
      <t xml:space="preserve">  กลุ่ม B2 อาจารย์นิเทศ รศ.ดร.จิระภา ศิริวัฒนเมธานนท์ และอ.อ้อยทิพย์ บัวจันทร์</t>
    </r>
  </si>
  <si>
    <r>
      <t>นักศึกษาพยาบาลศาสตรบัณฑิต  ชั้นปีที่  3  รุ่นที่  5  แหล่งฝึก ชุมชนบ้านนาฝาย หมู่ที่ 3 / โรงเรียนบ้านนาฝาย / รพ.สต. ห้วยต้อน</t>
    </r>
    <r>
      <rPr>
        <b/>
        <sz val="14"/>
        <color rgb="FFFF0000"/>
        <rFont val="TH SarabunPSK"/>
        <family val="2"/>
      </rPr>
      <t xml:space="preserve">  กลุ่ม C1 อาจารย์นิเทศ อ.จารุณี เทียบโพธิ์</t>
    </r>
  </si>
  <si>
    <t>นางสาวกฤตพร  สุดชา</t>
  </si>
  <si>
    <t>นางสาวจุฑามณี  สวาทรัมย์</t>
  </si>
  <si>
    <t>นางสาวณัฐธิดา  พันลา</t>
  </si>
  <si>
    <t>นางสาวนิภา  บุตรรินทร์</t>
  </si>
  <si>
    <t>นางสาวเพียงพักตร์  โมกภา</t>
  </si>
  <si>
    <t>นายวริทธิ์นันท์  พลพาลสังข์</t>
  </si>
  <si>
    <t>นางสาวสมฤทัย  สาระชาติ</t>
  </si>
  <si>
    <t>นางสาวอรุณวรรณ  นนท์แสน</t>
  </si>
  <si>
    <t>B</t>
  </si>
  <si>
    <t>B+</t>
  </si>
  <si>
    <t>นางสาวกาญจนา  อุ่นเมือง</t>
  </si>
  <si>
    <t>นางสาวเจนจิฬา  ภูสีดิน</t>
  </si>
  <si>
    <t>นางสาวณัฐวดี  จันลา</t>
  </si>
  <si>
    <t>นางสาวเบญจวรรณ  ศรีนอก</t>
  </si>
  <si>
    <t>นางสาวภาณุมาศ  อิสริยะวงศ์</t>
  </si>
  <si>
    <t>นางสาววาสนา  เป้ดทิพย์</t>
  </si>
  <si>
    <t>นายสุทิน  นิลไสล</t>
  </si>
  <si>
    <t>นางสาวอาภาภรณ์  ประกอบสุข</t>
  </si>
  <si>
    <r>
      <t>นักศึกษาพยาบาลศาสตรบัณฑิต  ชั้นปีที่  3  รุ่นที่  5  แหล่งฝึก ชุมชนบ้านนาฝาย หมู่ที่ 5 / โรงเรียนบ้านหนองหญ้าปล้อง / รพ.สต. ห้วยต้อน</t>
    </r>
    <r>
      <rPr>
        <b/>
        <sz val="14"/>
        <color rgb="FFFF0000"/>
        <rFont val="TH SarabunPSK"/>
        <family val="2"/>
      </rPr>
      <t xml:space="preserve">  กลุ่ม D1 อาจารย์นิเทศ อ.ธมลวรรณ สวัสดิ์สิงห์</t>
    </r>
  </si>
  <si>
    <t>แหล่งฝึก โรงเรียนบ้านหนองหญ้าปล้อง</t>
  </si>
  <si>
    <r>
      <t>นักศึกษาพยาบาลศาสตรบัณฑิต  ชั้นปีที่  3  รุ่นที่  5  แหล่งฝึก ชุมชนบ้านนาฝาย หมู่ที่ 5 / โรงเรียนบ้านหนองหญ้าปล้อง / รพ.สต. นาเสียว</t>
    </r>
    <r>
      <rPr>
        <b/>
        <sz val="14"/>
        <color rgb="FFFF0000"/>
        <rFont val="TH SarabunPSK"/>
        <family val="2"/>
      </rPr>
      <t xml:space="preserve">  กลุ่ม D2 อาจารย์นิเทศ อ.บุปผา แก่นชัยภูมิ</t>
    </r>
  </si>
  <si>
    <t>นางสาวกาญจนาพร  ซื่อสัตย์</t>
  </si>
  <si>
    <t>นางสาวชลธิชา  อุ่นดี</t>
  </si>
  <si>
    <t>นางสาวดวงกมล  อุดมวงษ์</t>
  </si>
  <si>
    <t>นางสาวปิยพร  บรรเทิงใจ</t>
  </si>
  <si>
    <t>นายมกรธวัช  กุศล</t>
  </si>
  <si>
    <t>นายวีระยุทธ  ดำรงแดน</t>
  </si>
  <si>
    <t>นางสาวสุนิสา  แพงสอน</t>
  </si>
  <si>
    <t>นางสาวอิสราพร  พรมศร</t>
  </si>
  <si>
    <t>C+</t>
  </si>
  <si>
    <t>C</t>
  </si>
  <si>
    <t>D+</t>
  </si>
  <si>
    <t>D</t>
  </si>
  <si>
    <t>E</t>
  </si>
  <si>
    <t>รวม</t>
  </si>
  <si>
    <t>อิงเกณฑ์</t>
  </si>
  <si>
    <t>อิงกลุ่ม+T-Score</t>
  </si>
  <si>
    <t>จำนวน</t>
  </si>
  <si>
    <t>ช่วงคะแนน</t>
  </si>
  <si>
    <t>%min</t>
  </si>
  <si>
    <t>%max</t>
  </si>
  <si>
    <t>Grade (อิงเกณฑ์ %)</t>
  </si>
  <si>
    <t>ตัดเกรดแบบอิงเกณฑ์</t>
  </si>
  <si>
    <t>I</t>
  </si>
  <si>
    <t>ร้อยละ</t>
  </si>
  <si>
    <t>Grade กรณีตัดแบบอิงกลุ่ม (ใช้ T-score)</t>
  </si>
  <si>
    <t>Grade กรณีตัดแบบอิงเกณฑ์ (ใช้ %)</t>
  </si>
  <si>
    <t>Grade (อิงกลุ่ม)</t>
  </si>
  <si>
    <t>range</t>
  </si>
  <si>
    <t>Grade Max</t>
  </si>
  <si>
    <t>2, 4, 6, 8</t>
  </si>
  <si>
    <t>1, 3, 5, 7</t>
  </si>
  <si>
    <t>ตัดเกรดแบบ</t>
  </si>
  <si>
    <t>อิงกลุ่ม (คู่)</t>
  </si>
  <si>
    <t>อิงกลุ่ม (คี่)</t>
  </si>
  <si>
    <t>รหัสประจำตัว</t>
  </si>
  <si>
    <t>T -Score</t>
  </si>
  <si>
    <t>(ลงชื่อ)………………...…………………ผู้รับผิดชอบวิชา</t>
  </si>
  <si>
    <t>(ลงชื่อ)………………………………นักวิชาการศึกษา</t>
  </si>
  <si>
    <t>แบบสรุปตัดเกรด</t>
  </si>
  <si>
    <t>[    ]  กรณีที่จำนวนนักศึกษาไม่เกิน 30 คน</t>
  </si>
  <si>
    <r>
      <t>[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TH SarabunPSK"/>
        <family val="2"/>
      </rPr>
      <t>]  กรณีที่จำนวนนักศึกษา 30 คนขึ้นไป</t>
    </r>
  </si>
  <si>
    <r>
      <t>(</t>
    </r>
    <r>
      <rPr>
        <sz val="16"/>
        <color theme="1"/>
        <rFont val="Wingdings 2"/>
        <family val="1"/>
        <charset val="2"/>
      </rPr>
      <t>P</t>
    </r>
    <r>
      <rPr>
        <sz val="16"/>
        <color theme="1"/>
        <rFont val="TH SarabunPSK"/>
        <family val="2"/>
      </rPr>
      <t>) ภาคปกติ  (   ) ภาค กศ.ปช.  (   ) โครงการมหาวิทยาลัยชีวิต  (   ) อปท.  (   ) อื่น ๆ ................................</t>
    </r>
  </si>
  <si>
    <t>เกณฑ์การประเมินผล</t>
  </si>
  <si>
    <t>คะแนน   ถึง</t>
  </si>
  <si>
    <t>คะแนน</t>
  </si>
  <si>
    <t>ได้เกรด</t>
  </si>
  <si>
    <t>คน</t>
  </si>
  <si>
    <t>PD</t>
  </si>
  <si>
    <t>P</t>
  </si>
  <si>
    <t>F</t>
  </si>
  <si>
    <t xml:space="preserve">การเรียนยังไม่สมบูรณ์ " I/I*  " </t>
  </si>
  <si>
    <t>สาเหตุ</t>
  </si>
  <si>
    <t>……………………………………………………….</t>
  </si>
  <si>
    <t>ลงชื่อ ........................................... ผู้ประเมิน/สอน</t>
  </si>
  <si>
    <t>ลงชื่อ ..................................................... นักวิชาการศึกษา</t>
  </si>
  <si>
    <t xml:space="preserve">          …………./…………./………….</t>
  </si>
  <si>
    <t>………./………./………….</t>
  </si>
  <si>
    <t xml:space="preserve">ตรวจสอบเบื้องต้นแล้ว </t>
  </si>
  <si>
    <t>[   ] แก้ไข</t>
  </si>
  <si>
    <t>[   ] นำเข้าที่ประชุมกรรมการหลักสูตร</t>
  </si>
  <si>
    <t>[     ] อนุมัติ          [     ] ไม่อนุมัติ</t>
  </si>
  <si>
    <t>ลงชื่อ ............................................................... ประธานหลักสูตร</t>
  </si>
  <si>
    <t xml:space="preserve">            ………./………./………….</t>
  </si>
  <si>
    <t xml:space="preserve">       ( นายเมธี  ทะนสุข )</t>
  </si>
  <si>
    <t xml:space="preserve">       ( นายเมธี  ทะนสุข  )</t>
  </si>
  <si>
    <t xml:space="preserve">เลือกการตัดเกรดแบบ     </t>
  </si>
  <si>
    <t xml:space="preserve">       ( นางสาวสุภาภัค  สิงห์เสนา)</t>
  </si>
  <si>
    <t>(ลงชื่อ)………………………...……………ประธานหลักสูตร</t>
  </si>
  <si>
    <t>=</t>
  </si>
  <si>
    <t>แบบบันทึกคะแนน รายวิชา 2012302  ปฏิบัติการพยาบาลเด็กและวัยรุ่น 1</t>
  </si>
  <si>
    <t xml:space="preserve">          ( นางสาวอมรรัตน์   ผาละศรี )</t>
  </si>
  <si>
    <t xml:space="preserve">        ( นางสาวอมรรัตน์   ผาละศรี)</t>
  </si>
  <si>
    <t>Case study</t>
  </si>
  <si>
    <t>PerFormance</t>
  </si>
  <si>
    <t>DSPM</t>
  </si>
  <si>
    <t>Vaccine</t>
  </si>
  <si>
    <t>VDO</t>
  </si>
  <si>
    <t>ส่วนร่วม</t>
  </si>
  <si>
    <t>Post test</t>
  </si>
  <si>
    <t>นางสาวจริยาดา คำวงษ์</t>
  </si>
  <si>
    <t xml:space="preserve"> วิชา  ปฏิบัติการพยาบาลเด็กและวัยรุ่น 1 รหัสวิชา 2012302  จำนวน 1(0-3-0) หน่วยกิต</t>
  </si>
  <si>
    <t xml:space="preserve">       ( นางสาวลนาไพร ขวาไทย)</t>
  </si>
  <si>
    <t>นางสาวกนกกชกร  มั่นนุช</t>
  </si>
  <si>
    <t>นางสาวญานิกา  นวลมณี</t>
  </si>
  <si>
    <t>นางสาวธนาภรณ์ โชคบัณฑิต</t>
  </si>
  <si>
    <t>นางสาวเนตรนภา สวัสดิ์ศรี</t>
  </si>
  <si>
    <t>นางสาวภัชกุล สิงห์สำราญ</t>
  </si>
  <si>
    <t>นางสาวสุกัญญา ยังสูงเนิน</t>
  </si>
  <si>
    <t>นางสาวหฤทัย หลวงพล</t>
  </si>
  <si>
    <t>นายอาทิตย์ แส่กระโทก</t>
  </si>
  <si>
    <t>play activity</t>
  </si>
  <si>
    <t>post-test</t>
  </si>
  <si>
    <t>play acrivity</t>
  </si>
  <si>
    <t>ประจำภาคเรียนที่  3    ปีการศึกษา  2565</t>
  </si>
  <si>
    <t>นางสาวกนกทิพย์ สีกวาง</t>
  </si>
  <si>
    <t>นายกมลภพ หนูพันธ์</t>
  </si>
  <si>
    <t>นางสาวกรณ์วิภา เครือภักดี</t>
  </si>
  <si>
    <t>นางสาวกัลญารัตน์ พิมพานิช</t>
  </si>
  <si>
    <t>นางสาวกิตติยาภรณ์ วาสุชาติ</t>
  </si>
  <si>
    <t>นายกิตติศักดิ์ ประทุม</t>
  </si>
  <si>
    <t>นางสาวเกวลิน เวฬุวนารักษ์</t>
  </si>
  <si>
    <t>นางสาวเกศรินทร์ ขอพลกลาง</t>
  </si>
  <si>
    <t>นางสาวขวัญเนตร ปาริสาเก</t>
  </si>
  <si>
    <t>นางสาวเข็มทิพย์ ดาวช่วย</t>
  </si>
  <si>
    <t>นางสาวคัชรินทร์ อินทร์จา</t>
  </si>
  <si>
    <t>นางสาวจันทร์โฉม หงษ์ทอง</t>
  </si>
  <si>
    <t>นางสาวจิดาภา พิเศษฤทธิ์</t>
  </si>
  <si>
    <t>นางสาวจิตรลดา กนั ชัยภูมิ</t>
  </si>
  <si>
    <t>นางสาวจิราภรณ์ ภูขาว</t>
  </si>
  <si>
    <t>นางสาวจุฑาทิพย์ ชาวนาแปน</t>
  </si>
  <si>
    <t>นางสาวจุฑาลกั ษณ์ จำปาที</t>
  </si>
  <si>
    <t>นางสาวชนากานต์ เนียมอ้ม</t>
  </si>
  <si>
    <t>นางสาวชลดา ผ่อนจรุง</t>
  </si>
  <si>
    <t>นางสาวชลทิชา ศรีกระหวัน</t>
  </si>
  <si>
    <t>นางสาวชลธิชา ทองมาก</t>
  </si>
  <si>
    <t>นางสาวชลธิชา ปราบพาลา</t>
  </si>
  <si>
    <t>นางสาวฐิติมา วงเวียน</t>
  </si>
  <si>
    <t>นางสาวณัฐกานต์ ศรีกรินทร์</t>
  </si>
  <si>
    <t>นางสาวณัฐตรียา นาใจเย็น</t>
  </si>
  <si>
    <t>นางสาวณัฐธิดา สอนศิริ</t>
  </si>
  <si>
    <t>นางสาวดารภา สีดี</t>
  </si>
  <si>
    <t>นางสาวเดือนเพ็ญ ไชยโสดา</t>
  </si>
  <si>
    <t>นางสาวทิวาพร แคนำ้</t>
  </si>
  <si>
    <t>นางสาวธนิตา ธาตุแสง</t>
  </si>
  <si>
    <t>นางสาวธัญญารัตน์ แสนศรี</t>
  </si>
  <si>
    <t>นางสาวธันยา บุญเกิด</t>
  </si>
  <si>
    <t>นายธีรภัทร ทับทิมไสย</t>
  </si>
  <si>
    <t>นายนครินทร์ บุญสม</t>
  </si>
  <si>
    <t>นายนครินทร์ พ่วงกลาง</t>
  </si>
  <si>
    <t>นางสาวนภเกตน์ บำรุงเพชร</t>
  </si>
  <si>
    <t>นางสาวนภาพร ไพรเขียว</t>
  </si>
  <si>
    <t>นางสาวนลินนิภา นุทธนู</t>
  </si>
  <si>
    <t>นายนัทนรินทร์ เถียนสูงเนิน</t>
  </si>
  <si>
    <t>นายนนั ทวัฒน์ สุพะกะ</t>
  </si>
  <si>
    <t>นางสาวเนตรนภา วงศ์ศรีแก้ว</t>
  </si>
  <si>
    <t>นางสาวเบญจวรรณ พั่วพันศรี</t>
  </si>
  <si>
    <t>นางสาวปนัดดา ไชยทองศรี</t>
  </si>
  <si>
    <t>นางสาวปนัดดา ริกำแง</t>
  </si>
  <si>
    <t>นางสาวประภาพร เชิดชู</t>
  </si>
  <si>
    <t>นางสาวปรีดานนั ต์ ลือพรม</t>
  </si>
  <si>
    <t>นางสาวปัญญาพร แสงวงศ์</t>
  </si>
  <si>
    <t>นางสาวปัญฑิษา วังวิวัฒน์ขจร</t>
  </si>
  <si>
    <t>นางสาวปิยวรรณ ขยันพูด</t>
  </si>
  <si>
    <t>นายปิยวัฒน์ ตลับแก้ว</t>
  </si>
  <si>
    <t>นางสาวปิยะมาศ พงษ์สระพัง</t>
  </si>
  <si>
    <t>นางสาวพนัชกร จุมจนั ทร์</t>
  </si>
  <si>
    <t>นางสาวพรชิตา บัวสิม</t>
  </si>
  <si>
    <t>นางสาวพัชราพร ชาลีสูงเนิน</t>
  </si>
  <si>
    <t>นางสาวพัณณิตา ประสมทรัพย์</t>
  </si>
  <si>
    <t>นางสาวพิลาวรรณ จันทิมาต</t>
  </si>
  <si>
    <t>นายพีรพัฒน์ เทศสนั่น</t>
  </si>
  <si>
    <t>นางสาวแพรชมพู โกกะพันธ์</t>
  </si>
  <si>
    <t>นางสาวแพรวดาว ยังโนนตาด</t>
  </si>
  <si>
    <t>นางสาวภรรัช ป้องขันธ์</t>
  </si>
  <si>
    <t>นางสาวภูริชญา สีกา</t>
  </si>
  <si>
    <t>นางสาวมนัญชยา กรมเกลียว</t>
  </si>
  <si>
    <t>นางสาวมลธิญา วิจิตรปัญญา</t>
  </si>
  <si>
    <t>นางสาวยุวดี ว่องไว</t>
  </si>
  <si>
    <t>นางสาวรักษิณา จวนสาง</t>
  </si>
  <si>
    <t>นางสาวรัตนา แก้วอาษา</t>
  </si>
  <si>
    <t>นางสาวลลิตา กุลเทียนประดิษฐ์</t>
  </si>
  <si>
    <t>นายวรปรัชญ์ ปัดไธสง</t>
  </si>
  <si>
    <t>นายวรเมธ สีดำ</t>
  </si>
  <si>
    <t>นายวรากร ก้อมมะณี</t>
  </si>
  <si>
    <t>นางสาววริสรา สายทอง</t>
  </si>
  <si>
    <t>นางสาววีรยา ประทุมทอง</t>
  </si>
  <si>
    <t>นางสาวศศิธร สุขม่วง</t>
  </si>
  <si>
    <t>นางสาวศศิวรรณ พิมพิลา</t>
  </si>
  <si>
    <t>นางสาวศิริประภา จนั สนิท</t>
  </si>
  <si>
    <t>นางสาวศุภลักษณ์ อุปดี</t>
  </si>
  <si>
    <t>นางสาวศุภิสรา วงศ์สาย</t>
  </si>
  <si>
    <t>นางสาวสาวิตรี เขียวบัว</t>
  </si>
  <si>
    <t>นายสิทธิโชค เสียงหวาน</t>
  </si>
  <si>
    <t>นางสาวสิรินยา จนั ทะคุณ</t>
  </si>
  <si>
    <t>นางสาวสิริยากร คุณสิงห์</t>
  </si>
  <si>
    <t>นางสาวสิริยุพา ดงประทีป</t>
  </si>
  <si>
    <t>นางสาวสิริรัตน์ ดวงเสนา</t>
  </si>
  <si>
    <t>นางสาวสิริวิมล คุณสิงห์</t>
  </si>
  <si>
    <t>นางสาวสุทัตตา คำพรมมี</t>
  </si>
  <si>
    <t>นางสาวสุธิดา บุญประเสริฐ</t>
  </si>
  <si>
    <t>นางสาวสุมิตรา เลิศขามป้อม</t>
  </si>
  <si>
    <t>นางสาวสุลักษขณา นนธจิ ันทร์</t>
  </si>
  <si>
    <t>นางสาวสุวัลชณา คนหาญ</t>
  </si>
  <si>
    <t>นางสาวหทัยรัตน์ ตันเวียง</t>
  </si>
  <si>
    <t>นายอนนท์ ขะพินจิ</t>
  </si>
  <si>
    <t>นางสาวอรทัย ศรีมันตะ</t>
  </si>
  <si>
    <t>นางสาวอริสา จนั ชาดา</t>
  </si>
  <si>
    <t>นางสาวอริสา ดำรงเชื้อ</t>
  </si>
  <si>
    <t>นายอัครพนธ์ เจนชัย</t>
  </si>
  <si>
    <t>นางสาวอัญมณี คำโสภา</t>
  </si>
  <si>
    <t>นางสาวอาทิตยา วิชัยดิษฐ</t>
  </si>
  <si>
    <t>นางสาวอาทิตยา ใจสูงเนิน</t>
  </si>
  <si>
    <t>นางสาวอุไรวรรณ กองพอด</t>
  </si>
  <si>
    <t>นางสาวกรรณิการ์ ประกอบแก้ว</t>
  </si>
  <si>
    <t>นางสาวจุฑาลักษณ์ จำปาที</t>
  </si>
  <si>
    <t>ภาคการศึกษาที่ 3   ปีการศึกษา  2566   ชั้นปีที่ 2   รุ่นที่  15</t>
  </si>
  <si>
    <t>แบบบันทึกคะแนนรายวิชา ปฏิบัติการพยาบาลเด็กและวัยรุ่น 1(0-3-0) ภาคการศึกษาที่ 3 ปีการศึกษา 2566</t>
  </si>
  <si>
    <t>นักศึกษาพยาบาลศาสตรบัณฑิต  ชั้นปีที่   2  รุ่นที่ 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</si>
</sst>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9" x14ac:knownFonts="1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1"/>
      <color rgb="FFFF0000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rgb="FFC00000"/>
      <name val="TH SarabunPSK"/>
      <family val="2"/>
    </font>
    <font>
      <sz val="16"/>
      <name val="TH SarabunPSK"/>
      <family val="2"/>
    </font>
    <font>
      <b/>
      <sz val="16"/>
      <color theme="1"/>
      <name val="Wingdings 2"/>
      <family val="1"/>
      <charset val="2"/>
    </font>
    <font>
      <sz val="16"/>
      <color theme="1"/>
      <name val="Wingdings 2"/>
      <family val="1"/>
      <charset val="2"/>
    </font>
    <font>
      <sz val="18"/>
      <name val="TH SarabunPSK"/>
      <family val="2"/>
    </font>
    <font>
      <sz val="12"/>
      <name val="Calibri"/>
      <family val="2"/>
      <scheme val="minor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2"/>
      <color rgb="FF00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1A07A9"/>
      <name val="Calibri"/>
      <family val="2"/>
      <scheme val="minor"/>
    </font>
    <font>
      <sz val="18"/>
      <color theme="9" tint="-0.249977111117893"/>
      <name val="TH SarabunPSK"/>
      <family val="2"/>
    </font>
    <font>
      <sz val="18"/>
      <color rgb="FF1A07A9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6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DAF0"/>
        <bgColor indexed="64"/>
      </patternFill>
    </fill>
    <fill>
      <patternFill patternType="solid">
        <fgColor rgb="FFFFB8FF"/>
        <bgColor indexed="64"/>
      </patternFill>
    </fill>
    <fill>
      <patternFill patternType="solid">
        <fgColor rgb="FFFCFFB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2" fontId="2" fillId="5" borderId="6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2" fillId="6" borderId="7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6" borderId="7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left" wrapText="1" indent="1"/>
    </xf>
    <xf numFmtId="2" fontId="9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 indent="1"/>
    </xf>
    <xf numFmtId="2" fontId="9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 inden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2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wrapText="1"/>
    </xf>
    <xf numFmtId="165" fontId="3" fillId="6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6" borderId="7" xfId="0" applyFont="1" applyFill="1" applyBorder="1"/>
    <xf numFmtId="2" fontId="9" fillId="0" borderId="6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left" wrapText="1" indent="1"/>
    </xf>
    <xf numFmtId="2" fontId="1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9" fontId="12" fillId="13" borderId="1" xfId="0" applyNumberFormat="1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7" fillId="0" borderId="0" xfId="0" applyFont="1"/>
    <xf numFmtId="2" fontId="13" fillId="0" borderId="0" xfId="0" applyNumberFormat="1" applyFont="1" applyAlignment="1">
      <alignment horizontal="center" vertical="center"/>
    </xf>
    <xf numFmtId="0" fontId="12" fillId="0" borderId="0" xfId="0" applyFont="1"/>
    <xf numFmtId="0" fontId="19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/>
    </xf>
    <xf numFmtId="0" fontId="15" fillId="16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 indent="1"/>
    </xf>
    <xf numFmtId="0" fontId="2" fillId="3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2" fontId="11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0" fontId="1" fillId="0" borderId="3" xfId="1" applyFont="1" applyBorder="1"/>
    <xf numFmtId="0" fontId="2" fillId="0" borderId="6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1" xfId="1" applyFont="1" applyBorder="1"/>
    <xf numFmtId="2" fontId="9" fillId="0" borderId="1" xfId="1" applyNumberFormat="1" applyFont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1" fillId="0" borderId="6" xfId="1" applyFont="1" applyBorder="1"/>
    <xf numFmtId="2" fontId="11" fillId="0" borderId="6" xfId="1" applyNumberFormat="1" applyFont="1" applyBorder="1" applyAlignment="1">
      <alignment horizontal="center" vertical="center"/>
    </xf>
    <xf numFmtId="2" fontId="9" fillId="0" borderId="6" xfId="1" applyNumberFormat="1" applyFont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8" fillId="6" borderId="7" xfId="1" applyFont="1" applyFill="1" applyBorder="1"/>
    <xf numFmtId="0" fontId="1" fillId="6" borderId="7" xfId="1" applyFont="1" applyFill="1" applyBorder="1"/>
    <xf numFmtId="0" fontId="2" fillId="0" borderId="0" xfId="1" applyFont="1"/>
    <xf numFmtId="2" fontId="1" fillId="0" borderId="0" xfId="1" applyNumberFormat="1" applyFont="1"/>
    <xf numFmtId="0" fontId="2" fillId="0" borderId="0" xfId="1" applyFont="1" applyAlignment="1">
      <alignment horizontal="left" vertical="center"/>
    </xf>
    <xf numFmtId="2" fontId="1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11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2" fontId="1" fillId="5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wrapText="1" indent="1"/>
    </xf>
    <xf numFmtId="0" fontId="6" fillId="0" borderId="1" xfId="1" applyFont="1" applyBorder="1" applyAlignment="1">
      <alignment horizontal="center" wrapText="1"/>
    </xf>
    <xf numFmtId="165" fontId="3" fillId="6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3" fillId="6" borderId="1" xfId="1" applyFont="1" applyFill="1" applyBorder="1" applyAlignment="1">
      <alignment horizontal="center"/>
    </xf>
    <xf numFmtId="2" fontId="1" fillId="0" borderId="0" xfId="1" applyNumberFormat="1" applyFont="1" applyAlignment="1">
      <alignment horizontal="center"/>
    </xf>
    <xf numFmtId="165" fontId="3" fillId="6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2" fontId="1" fillId="12" borderId="1" xfId="1" applyNumberFormat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left" wrapText="1" indent="1"/>
    </xf>
    <xf numFmtId="0" fontId="6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/>
    </xf>
    <xf numFmtId="166" fontId="3" fillId="6" borderId="1" xfId="1" applyNumberFormat="1" applyFont="1" applyFill="1" applyBorder="1" applyAlignment="1">
      <alignment horizontal="center"/>
    </xf>
    <xf numFmtId="0" fontId="20" fillId="17" borderId="1" xfId="0" applyFont="1" applyFill="1" applyBorder="1"/>
    <xf numFmtId="0" fontId="21" fillId="0" borderId="1" xfId="0" applyFont="1" applyBorder="1"/>
    <xf numFmtId="0" fontId="15" fillId="18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/>
    </xf>
    <xf numFmtId="0" fontId="15" fillId="2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2" fillId="2" borderId="8" xfId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12" borderId="1" xfId="1" applyFont="1" applyFill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1" fillId="12" borderId="4" xfId="1" applyFont="1" applyFill="1" applyBorder="1" applyAlignment="1">
      <alignment horizontal="center"/>
    </xf>
    <xf numFmtId="0" fontId="1" fillId="12" borderId="5" xfId="1" applyFont="1" applyFill="1" applyBorder="1" applyAlignment="1">
      <alignment horizontal="center"/>
    </xf>
    <xf numFmtId="0" fontId="1" fillId="12" borderId="2" xfId="1" applyFont="1" applyFill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1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4"/>
    </xf>
    <xf numFmtId="0" fontId="22" fillId="2" borderId="1" xfId="0" applyFont="1" applyFill="1" applyBorder="1"/>
    <xf numFmtId="0" fontId="23" fillId="21" borderId="1" xfId="0" applyFont="1" applyFill="1" applyBorder="1"/>
    <xf numFmtId="0" fontId="23" fillId="21" borderId="6" xfId="0" applyFont="1" applyFill="1" applyBorder="1"/>
    <xf numFmtId="0" fontId="22" fillId="14" borderId="1" xfId="0" applyFont="1" applyFill="1" applyBorder="1"/>
    <xf numFmtId="0" fontId="0" fillId="22" borderId="1" xfId="0" applyFill="1" applyBorder="1"/>
    <xf numFmtId="0" fontId="22" fillId="8" borderId="1" xfId="0" applyFont="1" applyFill="1" applyBorder="1"/>
    <xf numFmtId="0" fontId="24" fillId="0" borderId="1" xfId="0" applyFont="1" applyBorder="1"/>
    <xf numFmtId="0" fontId="24" fillId="0" borderId="6" xfId="0" applyFont="1" applyBorder="1"/>
    <xf numFmtId="0" fontId="22" fillId="19" borderId="1" xfId="0" applyFont="1" applyFill="1" applyBorder="1"/>
    <xf numFmtId="0" fontId="22" fillId="15" borderId="1" xfId="0" applyFont="1" applyFill="1" applyBorder="1"/>
    <xf numFmtId="0" fontId="0" fillId="23" borderId="1" xfId="0" applyFill="1" applyBorder="1"/>
    <xf numFmtId="0" fontId="25" fillId="0" borderId="1" xfId="0" applyFont="1" applyBorder="1"/>
    <xf numFmtId="0" fontId="26" fillId="0" borderId="1" xfId="0" applyFont="1" applyBorder="1"/>
    <xf numFmtId="0" fontId="27" fillId="20" borderId="1" xfId="0" applyFont="1" applyFill="1" applyBorder="1"/>
    <xf numFmtId="0" fontId="28" fillId="20" borderId="1" xfId="0" applyFont="1" applyFill="1" applyBorder="1"/>
    <xf numFmtId="0" fontId="22" fillId="20" borderId="1" xfId="0" applyFont="1" applyFill="1" applyBorder="1"/>
    <xf numFmtId="0" fontId="25" fillId="0" borderId="0" xfId="0" applyFont="1"/>
    <xf numFmtId="0" fontId="26" fillId="0" borderId="0" xfId="0" applyFont="1"/>
    <xf numFmtId="0" fontId="22" fillId="22" borderId="1" xfId="0" applyFont="1" applyFill="1" applyBorder="1"/>
    <xf numFmtId="0" fontId="22" fillId="24" borderId="1" xfId="0" applyFont="1" applyFill="1" applyBorder="1"/>
    <xf numFmtId="0" fontId="20" fillId="9" borderId="1" xfId="0" applyFont="1" applyFill="1" applyBorder="1"/>
    <xf numFmtId="0" fontId="21" fillId="9" borderId="1" xfId="0" applyFont="1" applyFill="1" applyBorder="1"/>
    <xf numFmtId="0" fontId="22" fillId="13" borderId="1" xfId="0" applyFont="1" applyFill="1" applyBorder="1"/>
    <xf numFmtId="0" fontId="0" fillId="25" borderId="1" xfId="0" applyFill="1" applyBorder="1"/>
    <xf numFmtId="0" fontId="22" fillId="26" borderId="1" xfId="0" applyFont="1" applyFill="1" applyBorder="1"/>
    <xf numFmtId="0" fontId="0" fillId="0" borderId="6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22" fillId="27" borderId="1" xfId="0" applyFont="1" applyFill="1" applyBorder="1"/>
    <xf numFmtId="0" fontId="22" fillId="28" borderId="1" xfId="0" applyFont="1" applyFill="1" applyBorder="1"/>
    <xf numFmtId="0" fontId="22" fillId="19" borderId="6" xfId="0" applyFont="1" applyFill="1" applyBorder="1"/>
    <xf numFmtId="0" fontId="22" fillId="19" borderId="3" xfId="0" applyFont="1" applyFill="1" applyBorder="1"/>
    <xf numFmtId="0" fontId="22" fillId="15" borderId="15" xfId="0" applyFont="1" applyFill="1" applyBorder="1"/>
    <xf numFmtId="0" fontId="22" fillId="15" borderId="16" xfId="0" applyFont="1" applyFill="1" applyBorder="1"/>
    <xf numFmtId="0" fontId="22" fillId="15" borderId="17" xfId="0" applyFont="1" applyFill="1" applyBorder="1"/>
    <xf numFmtId="0" fontId="22" fillId="13" borderId="15" xfId="0" applyFont="1" applyFill="1" applyBorder="1"/>
    <xf numFmtId="0" fontId="22" fillId="13" borderId="16" xfId="0" applyFont="1" applyFill="1" applyBorder="1"/>
    <xf numFmtId="0" fontId="22" fillId="13" borderId="17" xfId="0" applyFont="1" applyFill="1" applyBorder="1"/>
    <xf numFmtId="0" fontId="22" fillId="26" borderId="6" xfId="0" applyFont="1" applyFill="1" applyBorder="1"/>
    <xf numFmtId="0" fontId="22" fillId="26" borderId="3" xfId="0" applyFont="1" applyFill="1" applyBorder="1"/>
    <xf numFmtId="0" fontId="22" fillId="27" borderId="15" xfId="0" applyFont="1" applyFill="1" applyBorder="1"/>
    <xf numFmtId="0" fontId="22" fillId="27" borderId="16" xfId="0" applyFont="1" applyFill="1" applyBorder="1"/>
    <xf numFmtId="0" fontId="22" fillId="27" borderId="17" xfId="0" applyFont="1" applyFill="1" applyBorder="1"/>
    <xf numFmtId="0" fontId="22" fillId="28" borderId="6" xfId="0" applyFont="1" applyFill="1" applyBorder="1"/>
    <xf numFmtId="0" fontId="22" fillId="15" borderId="18" xfId="0" applyFont="1" applyFill="1" applyBorder="1"/>
    <xf numFmtId="0" fontId="22" fillId="15" borderId="19" xfId="0" applyFont="1" applyFill="1" applyBorder="1"/>
    <xf numFmtId="0" fontId="22" fillId="13" borderId="18" xfId="0" applyFont="1" applyFill="1" applyBorder="1"/>
    <xf numFmtId="0" fontId="22" fillId="13" borderId="19" xfId="0" applyFont="1" applyFill="1" applyBorder="1"/>
    <xf numFmtId="0" fontId="22" fillId="27" borderId="18" xfId="0" applyFont="1" applyFill="1" applyBorder="1"/>
    <xf numFmtId="0" fontId="22" fillId="27" borderId="19" xfId="0" applyFont="1" applyFill="1" applyBorder="1"/>
    <xf numFmtId="0" fontId="22" fillId="18" borderId="15" xfId="0" applyFont="1" applyFill="1" applyBorder="1"/>
    <xf numFmtId="0" fontId="22" fillId="18" borderId="18" xfId="0" applyFont="1" applyFill="1" applyBorder="1"/>
    <xf numFmtId="0" fontId="22" fillId="18" borderId="16" xfId="0" applyFont="1" applyFill="1" applyBorder="1"/>
    <xf numFmtId="0" fontId="22" fillId="18" borderId="1" xfId="0" applyFont="1" applyFill="1" applyBorder="1"/>
    <xf numFmtId="0" fontId="22" fillId="18" borderId="17" xfId="0" applyFont="1" applyFill="1" applyBorder="1"/>
    <xf numFmtId="0" fontId="22" fillId="18" borderId="19" xfId="0" applyFont="1" applyFill="1" applyBorder="1"/>
    <xf numFmtId="0" fontId="22" fillId="12" borderId="6" xfId="0" applyFont="1" applyFill="1" applyBorder="1"/>
    <xf numFmtId="0" fontId="22" fillId="12" borderId="1" xfId="0" applyFont="1" applyFill="1" applyBorder="1"/>
    <xf numFmtId="0" fontId="22" fillId="12" borderId="3" xfId="0" applyFont="1" applyFill="1" applyBorder="1"/>
    <xf numFmtId="0" fontId="22" fillId="5" borderId="15" xfId="0" applyFont="1" applyFill="1" applyBorder="1"/>
    <xf numFmtId="0" fontId="22" fillId="5" borderId="18" xfId="0" applyFont="1" applyFill="1" applyBorder="1"/>
    <xf numFmtId="0" fontId="22" fillId="5" borderId="16" xfId="0" applyFont="1" applyFill="1" applyBorder="1"/>
    <xf numFmtId="0" fontId="22" fillId="5" borderId="1" xfId="0" applyFont="1" applyFill="1" applyBorder="1"/>
    <xf numFmtId="0" fontId="22" fillId="5" borderId="17" xfId="0" applyFont="1" applyFill="1" applyBorder="1"/>
    <xf numFmtId="0" fontId="22" fillId="5" borderId="19" xfId="0" applyFont="1" applyFill="1" applyBorder="1"/>
    <xf numFmtId="0" fontId="27" fillId="29" borderId="6" xfId="0" applyFont="1" applyFill="1" applyBorder="1"/>
    <xf numFmtId="0" fontId="15" fillId="29" borderId="4" xfId="0" applyFont="1" applyFill="1" applyBorder="1" applyAlignment="1">
      <alignment horizontal="center"/>
    </xf>
    <xf numFmtId="0" fontId="28" fillId="29" borderId="1" xfId="0" applyFont="1" applyFill="1" applyBorder="1"/>
    <xf numFmtId="0" fontId="27" fillId="29" borderId="1" xfId="0" applyFont="1" applyFill="1" applyBorder="1"/>
    <xf numFmtId="0" fontId="22" fillId="29" borderId="1" xfId="0" applyFont="1" applyFill="1" applyBorder="1"/>
    <xf numFmtId="0" fontId="22" fillId="16" borderId="1" xfId="0" applyFont="1" applyFill="1" applyBorder="1"/>
    <xf numFmtId="0" fontId="22" fillId="3" borderId="1" xfId="0" applyFont="1" applyFill="1" applyBorder="1"/>
    <xf numFmtId="0" fontId="15" fillId="3" borderId="4" xfId="0" applyFont="1" applyFill="1" applyBorder="1" applyAlignment="1">
      <alignment horizontal="center"/>
    </xf>
    <xf numFmtId="0" fontId="22" fillId="3" borderId="3" xfId="0" applyFont="1" applyFill="1" applyBorder="1"/>
    <xf numFmtId="0" fontId="13" fillId="9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2" fillId="9" borderId="1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3" fillId="9" borderId="0" xfId="0" applyFont="1" applyFill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mruColors>
      <color rgb="FFFFFF99"/>
      <color rgb="FFFCFFB2"/>
      <color rgb="FFFFFF66"/>
      <color rgb="FFBBFDD1"/>
      <color rgb="FFF8F8F8"/>
      <color rgb="FFF5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2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3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4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5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6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7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8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9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10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11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ctrlProps/ctrlProp12.xml><?xml version="1.0" encoding="utf-8"?>
<formControlPr xmlns="http://schemas.microsoft.com/office/spreadsheetml/2009/9/main" objectType="Drop" dropLines="3" dropStyle="combo" dx="16" fmlaLink="$G$136" fmlaRange="$P$126:$P$128" noThreeD="1" sel="1" val="0"/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484393" y="25181719"/>
          <a:ext cx="3476625" cy="10160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7</xdr:col>
          <xdr:colOff>25400</xdr:colOff>
          <xdr:row>135</xdr:row>
          <xdr:rowOff>177800</xdr:rowOff>
        </xdr:to>
        <xdr:sp macro="" textlink="">
          <xdr:nvSpPr>
            <xdr:cNvPr id="190465" name="Drop Down 1" hidden="1">
              <a:extLst>
                <a:ext uri="{63B3BB69-23CF-44E3-9099-C40C66FF867C}">
                  <a14:compatExt spid="_x0000_s190465"/>
                </a:ext>
                <a:ext uri="{FF2B5EF4-FFF2-40B4-BE49-F238E27FC236}">
                  <a16:creationId xmlns:a16="http://schemas.microsoft.com/office/drawing/2014/main" id="{00000000-0008-0000-0A00-000001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017793" y="338939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127000</xdr:colOff>
          <xdr:row>135</xdr:row>
          <xdr:rowOff>177800</xdr:rowOff>
        </xdr:to>
        <xdr:sp macro="" textlink="">
          <xdr:nvSpPr>
            <xdr:cNvPr id="192513" name="Drop Down 1" hidden="1">
              <a:extLst>
                <a:ext uri="{63B3BB69-23CF-44E3-9099-C40C66FF867C}">
                  <a14:compatExt spid="_x0000_s192513"/>
                </a:ext>
                <a:ext uri="{FF2B5EF4-FFF2-40B4-BE49-F238E27FC236}">
                  <a16:creationId xmlns:a16="http://schemas.microsoft.com/office/drawing/2014/main" id="{00000000-0008-0000-0E00-000001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017793" y="338939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127000</xdr:colOff>
          <xdr:row>135</xdr:row>
          <xdr:rowOff>177800</xdr:rowOff>
        </xdr:to>
        <xdr:sp macro="" textlink="">
          <xdr:nvSpPr>
            <xdr:cNvPr id="196609" name="Drop Down 1" hidden="1">
              <a:extLst>
                <a:ext uri="{63B3BB69-23CF-44E3-9099-C40C66FF867C}">
                  <a14:compatExt spid="_x0000_s196609"/>
                </a:ext>
                <a:ext uri="{FF2B5EF4-FFF2-40B4-BE49-F238E27FC236}">
                  <a16:creationId xmlns:a16="http://schemas.microsoft.com/office/drawing/2014/main" id="{00000000-0008-0000-0F00-000001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036843" y="33992344"/>
          <a:ext cx="2867025" cy="1381125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7</xdr:col>
          <xdr:colOff>25400</xdr:colOff>
          <xdr:row>135</xdr:row>
          <xdr:rowOff>177800</xdr:rowOff>
        </xdr:to>
        <xdr:sp macro="" textlink="">
          <xdr:nvSpPr>
            <xdr:cNvPr id="120833" name="Drop Down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D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036843" y="33992344"/>
          <a:ext cx="2867025" cy="1381125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7</xdr:col>
          <xdr:colOff>25400</xdr:colOff>
          <xdr:row>135</xdr:row>
          <xdr:rowOff>177800</xdr:rowOff>
        </xdr:to>
        <xdr:sp macro="" textlink="">
          <xdr:nvSpPr>
            <xdr:cNvPr id="129025" name="Drop Down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1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017793" y="338939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127000</xdr:colOff>
          <xdr:row>135</xdr:row>
          <xdr:rowOff>177800</xdr:rowOff>
        </xdr:to>
        <xdr:sp macro="" textlink="">
          <xdr:nvSpPr>
            <xdr:cNvPr id="195585" name="Drop Down 1" hidden="1">
              <a:extLst>
                <a:ext uri="{63B3BB69-23CF-44E3-9099-C40C66FF867C}">
                  <a14:compatExt spid="_x0000_s195585"/>
                </a:ext>
                <a:ext uri="{FF2B5EF4-FFF2-40B4-BE49-F238E27FC236}">
                  <a16:creationId xmlns:a16="http://schemas.microsoft.com/office/drawing/2014/main" id="{00000000-0008-0000-0B00-000001F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9036843" y="33992344"/>
          <a:ext cx="2867025" cy="1381125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7</xdr:col>
          <xdr:colOff>25400</xdr:colOff>
          <xdr:row>135</xdr:row>
          <xdr:rowOff>177800</xdr:rowOff>
        </xdr:to>
        <xdr:sp macro="" textlink="">
          <xdr:nvSpPr>
            <xdr:cNvPr id="103425" name="Drop Down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C00-00000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9036843" y="33992344"/>
          <a:ext cx="2867025" cy="1381125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7</xdr:col>
          <xdr:colOff>25400</xdr:colOff>
          <xdr:row>135</xdr:row>
          <xdr:rowOff>177800</xdr:rowOff>
        </xdr:to>
        <xdr:sp macro="" textlink="">
          <xdr:nvSpPr>
            <xdr:cNvPr id="119809" name="Drop Down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2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9017793" y="335891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330200</xdr:colOff>
          <xdr:row>135</xdr:row>
          <xdr:rowOff>177800</xdr:rowOff>
        </xdr:to>
        <xdr:sp macro="" textlink="">
          <xdr:nvSpPr>
            <xdr:cNvPr id="191489" name="Drop Down 1" hidden="1">
              <a:extLst>
                <a:ext uri="{63B3BB69-23CF-44E3-9099-C40C66FF867C}">
                  <a14:compatExt spid="_x0000_s191489"/>
                </a:ext>
                <a:ext uri="{FF2B5EF4-FFF2-40B4-BE49-F238E27FC236}">
                  <a16:creationId xmlns:a16="http://schemas.microsoft.com/office/drawing/2014/main" id="{00000000-0008-0000-1000-000001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9017793" y="333859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330200</xdr:colOff>
          <xdr:row>135</xdr:row>
          <xdr:rowOff>177800</xdr:rowOff>
        </xdr:to>
        <xdr:sp macro="" textlink="">
          <xdr:nvSpPr>
            <xdr:cNvPr id="187393" name="Drop Down 1" hidden="1">
              <a:extLst>
                <a:ext uri="{63B3BB69-23CF-44E3-9099-C40C66FF867C}">
                  <a14:compatExt spid="_x0000_s187393"/>
                </a:ext>
                <a:ext uri="{FF2B5EF4-FFF2-40B4-BE49-F238E27FC236}">
                  <a16:creationId xmlns:a16="http://schemas.microsoft.com/office/drawing/2014/main" id="{00000000-0008-0000-1300-000001D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2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017793" y="338939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127000</xdr:colOff>
          <xdr:row>135</xdr:row>
          <xdr:rowOff>177800</xdr:rowOff>
        </xdr:to>
        <xdr:sp macro="" textlink="">
          <xdr:nvSpPr>
            <xdr:cNvPr id="194561" name="Drop Down 1" hidden="1">
              <a:extLst>
                <a:ext uri="{63B3BB69-23CF-44E3-9099-C40C66FF867C}">
                  <a14:compatExt spid="_x0000_s194561"/>
                </a:ext>
                <a:ext uri="{FF2B5EF4-FFF2-40B4-BE49-F238E27FC236}">
                  <a16:creationId xmlns:a16="http://schemas.microsoft.com/office/drawing/2014/main" id="{00000000-0008-0000-1500-000001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254793</xdr:colOff>
      <xdr:row>123</xdr:row>
      <xdr:rowOff>188119</xdr:rowOff>
    </xdr:from>
    <xdr:to>
      <xdr:col>17</xdr:col>
      <xdr:colOff>302418</xdr:colOff>
      <xdr:row>128</xdr:row>
      <xdr:rowOff>188119</xdr:rowOff>
    </xdr:to>
    <xdr:sp macro="" textlink="">
      <xdr:nvSpPr>
        <xdr:cNvPr id="3" name="สี่เหลี่ยมผืนผ้ามุมมน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9017793" y="33893919"/>
          <a:ext cx="2867025" cy="1333500"/>
        </a:xfrm>
        <a:prstGeom prst="roundRect">
          <a:avLst>
            <a:gd name="adj" fmla="val 4667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Linear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T-score V.update</a:t>
          </a:r>
        </a:p>
        <a:p>
          <a:pPr algn="ctr"/>
          <a:endParaRPr lang="en-US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K.torranin@gmail.com</a:t>
          </a:r>
        </a:p>
        <a:p>
          <a:pPr algn="ctr"/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Faculty</a:t>
          </a:r>
          <a:r>
            <a:rPr lang="en-US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of Nursing, CPRU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135</xdr:row>
          <xdr:rowOff>0</xdr:rowOff>
        </xdr:from>
        <xdr:to>
          <xdr:col>6</xdr:col>
          <xdr:colOff>101600</xdr:colOff>
          <xdr:row>135</xdr:row>
          <xdr:rowOff>177800</xdr:rowOff>
        </xdr:to>
        <xdr:sp macro="" textlink="">
          <xdr:nvSpPr>
            <xdr:cNvPr id="193538" name="Drop Down 2" hidden="1">
              <a:extLst>
                <a:ext uri="{63B3BB69-23CF-44E3-9099-C40C66FF867C}">
                  <a14:compatExt spid="_x0000_s193538"/>
                </a:ext>
                <a:ext uri="{FF2B5EF4-FFF2-40B4-BE49-F238E27FC236}">
                  <a16:creationId xmlns:a16="http://schemas.microsoft.com/office/drawing/2014/main" id="{00000000-0008-0000-1400-000002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47624</xdr:rowOff>
    </xdr:from>
    <xdr:to>
      <xdr:col>1</xdr:col>
      <xdr:colOff>438150</xdr:colOff>
      <xdr:row>3</xdr:row>
      <xdr:rowOff>266700</xdr:rowOff>
    </xdr:to>
    <xdr:pic>
      <xdr:nvPicPr>
        <xdr:cNvPr id="2" name="รูปภาพ 0" descr="Logo4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47624"/>
          <a:ext cx="895351" cy="1123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38100</xdr:colOff>
      <xdr:row>0</xdr:row>
      <xdr:rowOff>219075</xdr:rowOff>
    </xdr:from>
    <xdr:ext cx="933450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5743575" y="219075"/>
          <a:ext cx="933450" cy="32419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ทบ.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11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twoCellAnchor>
    <xdr:from>
      <xdr:col>0</xdr:col>
      <xdr:colOff>66675</xdr:colOff>
      <xdr:row>11</xdr:row>
      <xdr:rowOff>9526</xdr:rowOff>
    </xdr:from>
    <xdr:to>
      <xdr:col>14</xdr:col>
      <xdr:colOff>200025</xdr:colOff>
      <xdr:row>25</xdr:row>
      <xdr:rowOff>85726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66675" y="2867026"/>
          <a:ext cx="6829425" cy="383857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V113"/>
  <sheetViews>
    <sheetView view="pageBreakPreview" zoomScale="90" zoomScaleNormal="90" zoomScaleSheetLayoutView="90" workbookViewId="0">
      <selection activeCell="F22" sqref="F22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79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2</v>
      </c>
      <c r="B8" s="38">
        <v>5546000001</v>
      </c>
      <c r="C8" s="39" t="s">
        <v>68</v>
      </c>
      <c r="D8" s="12">
        <v>53</v>
      </c>
      <c r="E8" s="8">
        <f>(D8*$E$7)/$D$7</f>
        <v>14.133333333333333</v>
      </c>
      <c r="F8" s="3">
        <f>IF($D$17=0,50,(50+(10*(STANDARDIZE(D8,$D$16,$D$17)))))*$F$7</f>
        <v>85.44432398408938</v>
      </c>
      <c r="G8" s="12">
        <v>25</v>
      </c>
      <c r="H8" s="8">
        <f>(G8*$H$7)/$G$7</f>
        <v>8.3333333333333339</v>
      </c>
      <c r="I8" s="3">
        <f>IF($G$17=0,50,(50+(10*(STANDARDIZE(G8,$G$16,$G$17)))))*$I$7</f>
        <v>57.759279735796916</v>
      </c>
      <c r="J8" s="12">
        <v>41</v>
      </c>
      <c r="K8" s="8">
        <f>(J8*$K$7)/$J$7</f>
        <v>4.0999999999999996</v>
      </c>
      <c r="L8" s="3">
        <f>IF($J$17=0,50,(50+(10*(STANDARDIZE(J8,$J$16,$J$17)))))*$L$7</f>
        <v>23.421364954273809</v>
      </c>
      <c r="M8" s="12">
        <v>75</v>
      </c>
      <c r="N8" s="8">
        <f>(M8*$N$7)/$M$7</f>
        <v>7.5</v>
      </c>
      <c r="O8" s="3">
        <f>IF($M$17=0,50,(50+(10*(STANDARDIZE(M8,$M$16,$M$17)))))*$O$7</f>
        <v>42.685600050041089</v>
      </c>
      <c r="P8" s="12">
        <v>31</v>
      </c>
      <c r="Q8" s="8">
        <f>(P8*$Q$7)/$P$7</f>
        <v>6.2</v>
      </c>
      <c r="R8" s="3">
        <f>IF($P$17=0,50,(50+(10*(STANDARDIZE(P8,$P$16,$P$17)))))*$R$7</f>
        <v>39.307323378436372</v>
      </c>
    </row>
    <row r="9" spans="1:22" ht="22" x14ac:dyDescent="0.35">
      <c r="A9" s="6">
        <v>12</v>
      </c>
      <c r="B9" s="38">
        <v>5546000011</v>
      </c>
      <c r="C9" s="39" t="s">
        <v>69</v>
      </c>
      <c r="D9" s="12">
        <v>65</v>
      </c>
      <c r="E9" s="8">
        <f t="shared" ref="E9:E15" si="0">(D9*$E$7)/$D$7</f>
        <v>17.333333333333332</v>
      </c>
      <c r="F9" s="3">
        <f t="shared" ref="F9:F15" si="1">IF($D$17=0,50,(50+(10*(STANDARDIZE(D9,$D$16,$D$17)))))*$F$7</f>
        <v>127.78810875764755</v>
      </c>
      <c r="G9" s="12">
        <v>24</v>
      </c>
      <c r="H9" s="8">
        <f t="shared" ref="H9:H15" si="2">(G9*$H$7)/$G$7</f>
        <v>8</v>
      </c>
      <c r="I9" s="3">
        <f t="shared" ref="I9:I15" si="3">IF($G$17=0,50,(50+(10*(STANDARDIZE(G9,$G$16,$G$17)))))*$I$7</f>
        <v>53.62099721003856</v>
      </c>
      <c r="J9" s="12">
        <v>41</v>
      </c>
      <c r="K9" s="8">
        <f t="shared" ref="K9:K15" si="4">(J9*$K$7)/$J$7</f>
        <v>4.0999999999999996</v>
      </c>
      <c r="L9" s="3">
        <f t="shared" ref="L9:L15" si="5">IF($J$17=0,50,(50+(10*(STANDARDIZE(J9,$J$16,$J$17)))))*$L$7</f>
        <v>23.421364954273809</v>
      </c>
      <c r="M9" s="12">
        <v>94</v>
      </c>
      <c r="N9" s="8">
        <f t="shared" ref="N9:N15" si="6">(M9*$N$7)/$M$7</f>
        <v>9.4</v>
      </c>
      <c r="O9" s="3">
        <f t="shared" ref="O9:O15" si="7">IF($M$17=0,50,(50+(10*(STANDARDIZE(M9,$M$16,$M$17)))))*$O$7</f>
        <v>72.733945790412832</v>
      </c>
      <c r="P9" s="12">
        <v>44</v>
      </c>
      <c r="Q9" s="8">
        <f t="shared" ref="Q9:Q15" si="8">(P9*$Q$7)/$P$7</f>
        <v>8.8000000000000007</v>
      </c>
      <c r="R9" s="3">
        <f t="shared" ref="R9:R15" si="9">IF($P$17=0,50,(50+(10*(STANDARDIZE(P9,$P$16,$P$17)))))*$R$7</f>
        <v>59.165151389911678</v>
      </c>
      <c r="V9" s="1" t="s">
        <v>2</v>
      </c>
    </row>
    <row r="10" spans="1:22" ht="22" x14ac:dyDescent="0.35">
      <c r="A10" s="6">
        <v>22</v>
      </c>
      <c r="B10" s="38">
        <v>5546000021</v>
      </c>
      <c r="C10" s="39" t="s">
        <v>70</v>
      </c>
      <c r="D10" s="12">
        <v>59</v>
      </c>
      <c r="E10" s="8">
        <f t="shared" si="0"/>
        <v>15.733333333333333</v>
      </c>
      <c r="F10" s="3">
        <f t="shared" si="1"/>
        <v>106.61621637086846</v>
      </c>
      <c r="G10" s="12">
        <v>24</v>
      </c>
      <c r="H10" s="8">
        <f t="shared" si="2"/>
        <v>8</v>
      </c>
      <c r="I10" s="3">
        <f t="shared" si="3"/>
        <v>53.62099721003856</v>
      </c>
      <c r="J10" s="12">
        <v>47</v>
      </c>
      <c r="K10" s="8">
        <f t="shared" si="4"/>
        <v>4.7</v>
      </c>
      <c r="L10" s="3">
        <f t="shared" si="5"/>
        <v>31.840751864813498</v>
      </c>
      <c r="M10" s="12">
        <v>78</v>
      </c>
      <c r="N10" s="8">
        <f t="shared" si="6"/>
        <v>7.8</v>
      </c>
      <c r="O10" s="3">
        <f t="shared" si="7"/>
        <v>47.430075693257677</v>
      </c>
      <c r="P10" s="12">
        <v>47</v>
      </c>
      <c r="Q10" s="8">
        <f t="shared" si="8"/>
        <v>9.4</v>
      </c>
      <c r="R10" s="3">
        <f t="shared" si="9"/>
        <v>63.74772708486752</v>
      </c>
    </row>
    <row r="11" spans="1:22" ht="22" x14ac:dyDescent="0.35">
      <c r="A11" s="6">
        <v>32</v>
      </c>
      <c r="B11" s="38">
        <v>5546000031</v>
      </c>
      <c r="C11" s="39" t="s">
        <v>71</v>
      </c>
      <c r="D11" s="12">
        <v>49</v>
      </c>
      <c r="E11" s="8">
        <f t="shared" si="0"/>
        <v>13.066666666666666</v>
      </c>
      <c r="F11" s="3">
        <f t="shared" si="1"/>
        <v>71.329729059569985</v>
      </c>
      <c r="G11" s="12">
        <v>20</v>
      </c>
      <c r="H11" s="8">
        <f t="shared" si="2"/>
        <v>6.666666666666667</v>
      </c>
      <c r="I11" s="3">
        <f t="shared" si="3"/>
        <v>37.067867107005142</v>
      </c>
      <c r="J11" s="12">
        <v>38</v>
      </c>
      <c r="K11" s="8">
        <f t="shared" si="4"/>
        <v>3.8</v>
      </c>
      <c r="L11" s="3">
        <f t="shared" si="5"/>
        <v>19.211671499003963</v>
      </c>
      <c r="M11" s="12">
        <v>75</v>
      </c>
      <c r="N11" s="8">
        <f t="shared" si="6"/>
        <v>7.5</v>
      </c>
      <c r="O11" s="3">
        <f t="shared" si="7"/>
        <v>42.685600050041089</v>
      </c>
      <c r="P11" s="12">
        <v>31</v>
      </c>
      <c r="Q11" s="8">
        <f t="shared" si="8"/>
        <v>6.2</v>
      </c>
      <c r="R11" s="3">
        <f t="shared" si="9"/>
        <v>39.307323378436372</v>
      </c>
      <c r="V11" s="1" t="s">
        <v>2</v>
      </c>
    </row>
    <row r="12" spans="1:22" ht="22" x14ac:dyDescent="0.35">
      <c r="A12" s="6">
        <v>42</v>
      </c>
      <c r="B12" s="38">
        <v>5546000041</v>
      </c>
      <c r="C12" s="39" t="s">
        <v>72</v>
      </c>
      <c r="D12" s="12">
        <v>57</v>
      </c>
      <c r="E12" s="8">
        <f t="shared" si="0"/>
        <v>15.2</v>
      </c>
      <c r="F12" s="3">
        <f t="shared" si="1"/>
        <v>99.558918908608774</v>
      </c>
      <c r="G12" s="12">
        <v>24</v>
      </c>
      <c r="H12" s="8">
        <f t="shared" si="2"/>
        <v>8</v>
      </c>
      <c r="I12" s="3">
        <f t="shared" si="3"/>
        <v>53.62099721003856</v>
      </c>
      <c r="J12" s="12">
        <v>41</v>
      </c>
      <c r="K12" s="8">
        <f t="shared" si="4"/>
        <v>4.0999999999999996</v>
      </c>
      <c r="L12" s="3">
        <f t="shared" si="5"/>
        <v>23.421364954273809</v>
      </c>
      <c r="M12" s="12">
        <v>81</v>
      </c>
      <c r="N12" s="8">
        <f t="shared" si="6"/>
        <v>8.1</v>
      </c>
      <c r="O12" s="3">
        <f t="shared" si="7"/>
        <v>52.174551336474273</v>
      </c>
      <c r="P12" s="12">
        <v>31</v>
      </c>
      <c r="Q12" s="8">
        <f t="shared" si="8"/>
        <v>6.2</v>
      </c>
      <c r="R12" s="3">
        <f t="shared" si="9"/>
        <v>39.307323378436372</v>
      </c>
    </row>
    <row r="13" spans="1:22" ht="22" x14ac:dyDescent="0.35">
      <c r="A13" s="6">
        <v>52</v>
      </c>
      <c r="B13" s="38">
        <v>5546000051</v>
      </c>
      <c r="C13" s="39" t="s">
        <v>73</v>
      </c>
      <c r="D13" s="12">
        <v>55</v>
      </c>
      <c r="E13" s="8">
        <f t="shared" si="0"/>
        <v>14.666666666666666</v>
      </c>
      <c r="F13" s="3">
        <f t="shared" si="1"/>
        <v>92.501621446349077</v>
      </c>
      <c r="G13" s="12">
        <v>19</v>
      </c>
      <c r="H13" s="8">
        <f t="shared" si="2"/>
        <v>6.333333333333333</v>
      </c>
      <c r="I13" s="3">
        <f t="shared" si="3"/>
        <v>32.929584581246786</v>
      </c>
      <c r="J13" s="12">
        <v>38</v>
      </c>
      <c r="K13" s="8">
        <f t="shared" si="4"/>
        <v>3.8</v>
      </c>
      <c r="L13" s="3">
        <f t="shared" si="5"/>
        <v>19.211671499003963</v>
      </c>
      <c r="M13" s="12">
        <v>78</v>
      </c>
      <c r="N13" s="8">
        <f t="shared" si="6"/>
        <v>7.8</v>
      </c>
      <c r="O13" s="3">
        <f t="shared" si="7"/>
        <v>47.430075693257677</v>
      </c>
      <c r="P13" s="12">
        <v>38</v>
      </c>
      <c r="Q13" s="8">
        <f t="shared" si="8"/>
        <v>7.6</v>
      </c>
      <c r="R13" s="3">
        <f t="shared" si="9"/>
        <v>50</v>
      </c>
    </row>
    <row r="14" spans="1:22" ht="22" x14ac:dyDescent="0.35">
      <c r="A14" s="6">
        <v>62</v>
      </c>
      <c r="B14" s="38">
        <v>5546000061</v>
      </c>
      <c r="C14" s="39" t="s">
        <v>74</v>
      </c>
      <c r="D14" s="12">
        <v>65</v>
      </c>
      <c r="E14" s="8">
        <f t="shared" si="0"/>
        <v>17.333333333333332</v>
      </c>
      <c r="F14" s="3">
        <f t="shared" si="1"/>
        <v>127.78810875764755</v>
      </c>
      <c r="G14" s="12">
        <v>26</v>
      </c>
      <c r="H14" s="8">
        <f t="shared" si="2"/>
        <v>8.6666666666666661</v>
      </c>
      <c r="I14" s="3">
        <f t="shared" si="3"/>
        <v>61.897562261555265</v>
      </c>
      <c r="J14" s="12">
        <v>47</v>
      </c>
      <c r="K14" s="8">
        <f t="shared" si="4"/>
        <v>4.7</v>
      </c>
      <c r="L14" s="3">
        <f t="shared" si="5"/>
        <v>31.840751864813498</v>
      </c>
      <c r="M14" s="12">
        <v>81</v>
      </c>
      <c r="N14" s="8">
        <f t="shared" si="6"/>
        <v>8.1</v>
      </c>
      <c r="O14" s="3">
        <f t="shared" si="7"/>
        <v>52.174551336474273</v>
      </c>
      <c r="P14" s="12">
        <v>44</v>
      </c>
      <c r="Q14" s="8">
        <f t="shared" si="8"/>
        <v>8.8000000000000007</v>
      </c>
      <c r="R14" s="3">
        <f t="shared" si="9"/>
        <v>59.165151389911678</v>
      </c>
    </row>
    <row r="15" spans="1:22" ht="22" x14ac:dyDescent="0.35">
      <c r="A15" s="6">
        <v>72</v>
      </c>
      <c r="B15" s="38">
        <v>5546000071</v>
      </c>
      <c r="C15" s="39" t="s">
        <v>75</v>
      </c>
      <c r="D15" s="12">
        <v>54</v>
      </c>
      <c r="E15" s="8">
        <f t="shared" si="0"/>
        <v>14.4</v>
      </c>
      <c r="F15" s="3">
        <f t="shared" si="1"/>
        <v>88.972972715219228</v>
      </c>
      <c r="G15" s="12">
        <v>23</v>
      </c>
      <c r="H15" s="8">
        <f t="shared" si="2"/>
        <v>7.666666666666667</v>
      </c>
      <c r="I15" s="3">
        <f t="shared" si="3"/>
        <v>49.482714684280204</v>
      </c>
      <c r="J15" s="12">
        <v>44</v>
      </c>
      <c r="K15" s="8">
        <f t="shared" si="4"/>
        <v>4.4000000000000004</v>
      </c>
      <c r="L15" s="3">
        <f t="shared" si="5"/>
        <v>27.631058409543655</v>
      </c>
      <c r="M15" s="12">
        <v>75</v>
      </c>
      <c r="N15" s="8">
        <f t="shared" si="6"/>
        <v>7.5</v>
      </c>
      <c r="O15" s="3">
        <f t="shared" si="7"/>
        <v>42.685600050041089</v>
      </c>
      <c r="P15" s="12">
        <v>38</v>
      </c>
      <c r="Q15" s="8">
        <f t="shared" si="8"/>
        <v>7.6</v>
      </c>
      <c r="R15" s="3">
        <f t="shared" si="9"/>
        <v>50</v>
      </c>
    </row>
    <row r="16" spans="1:22" ht="18" customHeight="1" x14ac:dyDescent="0.35">
      <c r="C16" s="42" t="s">
        <v>13</v>
      </c>
      <c r="D16" s="9">
        <f>AVERAGE($D$8:$D$15)</f>
        <v>57.125</v>
      </c>
      <c r="E16" s="2"/>
      <c r="F16" s="2"/>
      <c r="G16" s="9">
        <f>AVERAGE($G$8:$G$15)</f>
        <v>23.125</v>
      </c>
      <c r="J16" s="9">
        <f>AVERAGE($J$8:$J$15)</f>
        <v>42.125</v>
      </c>
      <c r="M16" s="9">
        <f>AVERAGE($M$8:$M$15)</f>
        <v>79.625</v>
      </c>
      <c r="P16" s="9">
        <f>AVERAGE($P$8:$P$15)</f>
        <v>38</v>
      </c>
    </row>
    <row r="17" spans="1:19" ht="18" customHeight="1" x14ac:dyDescent="0.35">
      <c r="C17" s="42" t="s">
        <v>14</v>
      </c>
      <c r="D17" s="9">
        <f>STDEV($D$8:$D$15)</f>
        <v>5.6678920243773172</v>
      </c>
      <c r="E17" s="2"/>
      <c r="F17" s="2"/>
      <c r="G17" s="9">
        <f>STDEV($G$8:$G$15)</f>
        <v>2.416461403433896</v>
      </c>
      <c r="J17" s="9">
        <f>STDEV($J$8:$J$15)</f>
        <v>3.5632048174962621</v>
      </c>
      <c r="M17" s="9">
        <f>STDEV(M8:M15)</f>
        <v>6.3231434316440156</v>
      </c>
      <c r="P17" s="9">
        <f>STDEV(P8:P15)</f>
        <v>6.5465367070797713</v>
      </c>
    </row>
    <row r="18" spans="1:19" ht="18" customHeight="1" x14ac:dyDescent="0.35">
      <c r="C18" s="42"/>
      <c r="D18" s="206" t="s">
        <v>78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2</v>
      </c>
      <c r="B22" s="38">
        <v>5546000001</v>
      </c>
      <c r="C22" s="39" t="s">
        <v>68</v>
      </c>
      <c r="D22" s="12">
        <v>34</v>
      </c>
      <c r="E22" s="8">
        <f>(D22*$E$21)/$D$21</f>
        <v>3.4</v>
      </c>
      <c r="F22" s="3">
        <f>IF($D$31=0,50,(50+(10*(STANDARDIZE(D22,$D$30,$D$31)))))*$F$21</f>
        <v>15.310967483944607</v>
      </c>
      <c r="G22" s="12">
        <v>30</v>
      </c>
      <c r="H22" s="8">
        <f>(G22*$H$21)/$G$21</f>
        <v>3.75</v>
      </c>
      <c r="I22" s="3">
        <f>IF($G$31=0,50,(50+(10*(STANDARDIZE(G22,$G$30,$G$31)))))*$I$21</f>
        <v>25</v>
      </c>
      <c r="J22" s="12">
        <v>38</v>
      </c>
      <c r="K22" s="8">
        <f>(J22*$K$21)/$J$21</f>
        <v>3.8</v>
      </c>
      <c r="L22" s="3">
        <f>IF($J$31=0,50,(50+(10*(STANDARDIZE(J22,$J$30,$J$31)))))*$L$21</f>
        <v>18.9619263557544</v>
      </c>
      <c r="M22" s="12">
        <v>28</v>
      </c>
      <c r="N22" s="8">
        <f>(M22*$N$21)/$M$21</f>
        <v>3.5</v>
      </c>
      <c r="O22" s="3">
        <f>IF($M$31=0,50,(50+(10*(STANDARDIZE(M22,$M$30,$M$31)))))*$O$21</f>
        <v>25</v>
      </c>
      <c r="P22" s="12">
        <v>63</v>
      </c>
      <c r="Q22" s="8">
        <f>(P22*$Q$21)/$P$21</f>
        <v>9</v>
      </c>
      <c r="R22" s="3">
        <f>IF($P$31=0,50,(50+(10*(STANDARDIZE(P22,$P$30,$P$31)))))*$R$21</f>
        <v>40.078432583507784</v>
      </c>
    </row>
    <row r="23" spans="1:19" ht="22" x14ac:dyDescent="0.35">
      <c r="A23" s="6">
        <v>12</v>
      </c>
      <c r="B23" s="38">
        <v>5546000011</v>
      </c>
      <c r="C23" s="39" t="s">
        <v>69</v>
      </c>
      <c r="D23" s="12">
        <v>38</v>
      </c>
      <c r="E23" s="8">
        <f t="shared" ref="E23:E29" si="10">(D23*$E$21)/$D$21</f>
        <v>3.8</v>
      </c>
      <c r="F23" s="3">
        <f t="shared" ref="F23:F29" si="11">IF($D$31=0,50,(50+(10*(STANDARDIZE(D23,$D$30,$D$31)))))*$F$21</f>
        <v>23.690671281614136</v>
      </c>
      <c r="G23" s="12">
        <v>30</v>
      </c>
      <c r="H23" s="8">
        <f t="shared" ref="H23:H29" si="12">(G23*$H$21)/$G$21</f>
        <v>3.75</v>
      </c>
      <c r="I23" s="3">
        <f t="shared" ref="I23:I29" si="13">IF($G$31=0,50,(50+(10*(STANDARDIZE(G23,$G$30,$G$31)))))*$I$21</f>
        <v>25</v>
      </c>
      <c r="J23" s="12">
        <v>48</v>
      </c>
      <c r="K23" s="8">
        <f t="shared" ref="K23:K29" si="14">(J23*$K$21)/$J$21</f>
        <v>4.8</v>
      </c>
      <c r="L23" s="3">
        <f t="shared" ref="L23:L29" si="15">IF($J$31=0,50,(50+(10*(STANDARDIZE(J23,$J$30,$J$31)))))*$L$21</f>
        <v>32.763237542601487</v>
      </c>
      <c r="M23" s="12">
        <v>28</v>
      </c>
      <c r="N23" s="8">
        <f t="shared" ref="N23:N29" si="16">(M23*$N$21)/$M$21</f>
        <v>3.5</v>
      </c>
      <c r="O23" s="3">
        <f t="shared" ref="O23:O29" si="17">IF($M$31=0,50,(50+(10*(STANDARDIZE(M23,$M$30,$M$31)))))*$O$21</f>
        <v>25</v>
      </c>
      <c r="P23" s="12">
        <v>63</v>
      </c>
      <c r="Q23" s="8">
        <f t="shared" ref="Q23:Q29" si="18">(P23*$Q$21)/$P$21</f>
        <v>9</v>
      </c>
      <c r="R23" s="3">
        <f t="shared" ref="R23:R29" si="19">IF($P$31=0,50,(50+(10*(STANDARDIZE(P23,$P$30,$P$31)))))*$R$21</f>
        <v>40.078432583507784</v>
      </c>
    </row>
    <row r="24" spans="1:19" ht="22" x14ac:dyDescent="0.35">
      <c r="A24" s="6">
        <v>22</v>
      </c>
      <c r="B24" s="38">
        <v>5546000021</v>
      </c>
      <c r="C24" s="39" t="s">
        <v>70</v>
      </c>
      <c r="D24" s="12">
        <v>41</v>
      </c>
      <c r="E24" s="8">
        <f t="shared" si="10"/>
        <v>4.0999999999999996</v>
      </c>
      <c r="F24" s="3">
        <f t="shared" si="11"/>
        <v>29.975449129866284</v>
      </c>
      <c r="G24" s="12">
        <v>30</v>
      </c>
      <c r="H24" s="8">
        <f t="shared" si="12"/>
        <v>3.75</v>
      </c>
      <c r="I24" s="3">
        <f t="shared" si="13"/>
        <v>25</v>
      </c>
      <c r="J24" s="12">
        <v>41</v>
      </c>
      <c r="K24" s="8">
        <f t="shared" si="14"/>
        <v>4.0999999999999996</v>
      </c>
      <c r="L24" s="3">
        <f t="shared" si="15"/>
        <v>23.102319711808526</v>
      </c>
      <c r="M24" s="12">
        <v>28</v>
      </c>
      <c r="N24" s="8">
        <f t="shared" si="16"/>
        <v>3.5</v>
      </c>
      <c r="O24" s="3">
        <f t="shared" si="17"/>
        <v>25</v>
      </c>
      <c r="P24" s="12">
        <v>65</v>
      </c>
      <c r="Q24" s="8">
        <f t="shared" si="18"/>
        <v>9.2857142857142865</v>
      </c>
      <c r="R24" s="3">
        <f t="shared" si="19"/>
        <v>53.307189138830736</v>
      </c>
    </row>
    <row r="25" spans="1:19" ht="22" x14ac:dyDescent="0.35">
      <c r="A25" s="6">
        <v>32</v>
      </c>
      <c r="B25" s="38">
        <v>5546000031</v>
      </c>
      <c r="C25" s="39" t="s">
        <v>71</v>
      </c>
      <c r="D25" s="12">
        <v>38</v>
      </c>
      <c r="E25" s="8">
        <f t="shared" si="10"/>
        <v>3.8</v>
      </c>
      <c r="F25" s="3">
        <f t="shared" si="11"/>
        <v>23.690671281614136</v>
      </c>
      <c r="G25" s="12">
        <v>30</v>
      </c>
      <c r="H25" s="8">
        <f t="shared" si="12"/>
        <v>3.75</v>
      </c>
      <c r="I25" s="3">
        <f t="shared" si="13"/>
        <v>25</v>
      </c>
      <c r="J25" s="12">
        <v>41</v>
      </c>
      <c r="K25" s="8">
        <f t="shared" si="14"/>
        <v>4.0999999999999996</v>
      </c>
      <c r="L25" s="3">
        <f t="shared" si="15"/>
        <v>23.102319711808526</v>
      </c>
      <c r="M25" s="12">
        <v>28</v>
      </c>
      <c r="N25" s="8">
        <f t="shared" si="16"/>
        <v>3.5</v>
      </c>
      <c r="O25" s="3">
        <f t="shared" si="17"/>
        <v>25</v>
      </c>
      <c r="P25" s="12">
        <v>66</v>
      </c>
      <c r="Q25" s="8">
        <f t="shared" si="18"/>
        <v>9.4285714285714288</v>
      </c>
      <c r="R25" s="3">
        <f t="shared" si="19"/>
        <v>59.921567416492216</v>
      </c>
    </row>
    <row r="26" spans="1:19" ht="22" x14ac:dyDescent="0.35">
      <c r="A26" s="6">
        <v>42</v>
      </c>
      <c r="B26" s="38">
        <v>5546000041</v>
      </c>
      <c r="C26" s="39" t="s">
        <v>72</v>
      </c>
      <c r="D26" s="12">
        <v>38</v>
      </c>
      <c r="E26" s="8">
        <f t="shared" si="10"/>
        <v>3.8</v>
      </c>
      <c r="F26" s="3">
        <f t="shared" si="11"/>
        <v>23.690671281614136</v>
      </c>
      <c r="G26" s="12">
        <v>30</v>
      </c>
      <c r="H26" s="8">
        <f t="shared" si="12"/>
        <v>3.75</v>
      </c>
      <c r="I26" s="3">
        <f t="shared" si="13"/>
        <v>25</v>
      </c>
      <c r="J26" s="12">
        <v>41</v>
      </c>
      <c r="K26" s="8">
        <f t="shared" si="14"/>
        <v>4.0999999999999996</v>
      </c>
      <c r="L26" s="3">
        <f t="shared" si="15"/>
        <v>23.102319711808526</v>
      </c>
      <c r="M26" s="12">
        <v>28</v>
      </c>
      <c r="N26" s="8">
        <f t="shared" si="16"/>
        <v>3.5</v>
      </c>
      <c r="O26" s="3">
        <f t="shared" si="17"/>
        <v>25</v>
      </c>
      <c r="P26" s="12">
        <v>64</v>
      </c>
      <c r="Q26" s="8">
        <f t="shared" si="18"/>
        <v>9.1428571428571423</v>
      </c>
      <c r="R26" s="3">
        <f t="shared" si="19"/>
        <v>46.692810861169264</v>
      </c>
    </row>
    <row r="27" spans="1:19" ht="22" x14ac:dyDescent="0.35">
      <c r="A27" s="6">
        <v>52</v>
      </c>
      <c r="B27" s="38">
        <v>5546000051</v>
      </c>
      <c r="C27" s="39" t="s">
        <v>73</v>
      </c>
      <c r="D27" s="12">
        <v>41</v>
      </c>
      <c r="E27" s="8">
        <f t="shared" si="10"/>
        <v>4.0999999999999996</v>
      </c>
      <c r="F27" s="3">
        <f t="shared" si="11"/>
        <v>29.975449129866284</v>
      </c>
      <c r="G27" s="12">
        <v>30</v>
      </c>
      <c r="H27" s="8">
        <f t="shared" si="12"/>
        <v>3.75</v>
      </c>
      <c r="I27" s="3">
        <f t="shared" si="13"/>
        <v>25</v>
      </c>
      <c r="J27" s="12">
        <v>48</v>
      </c>
      <c r="K27" s="8">
        <f t="shared" si="14"/>
        <v>4.8</v>
      </c>
      <c r="L27" s="3">
        <f t="shared" si="15"/>
        <v>32.763237542601487</v>
      </c>
      <c r="M27" s="12">
        <v>28</v>
      </c>
      <c r="N27" s="8">
        <f t="shared" si="16"/>
        <v>3.5</v>
      </c>
      <c r="O27" s="3">
        <f t="shared" si="17"/>
        <v>25</v>
      </c>
      <c r="P27" s="12">
        <v>67</v>
      </c>
      <c r="Q27" s="8">
        <f t="shared" si="18"/>
        <v>9.5714285714285712</v>
      </c>
      <c r="R27" s="3">
        <f t="shared" si="19"/>
        <v>66.535945694153696</v>
      </c>
    </row>
    <row r="28" spans="1:19" ht="22" x14ac:dyDescent="0.35">
      <c r="A28" s="6">
        <v>62</v>
      </c>
      <c r="B28" s="38">
        <v>5546000061</v>
      </c>
      <c r="C28" s="39" t="s">
        <v>74</v>
      </c>
      <c r="D28" s="12">
        <v>38</v>
      </c>
      <c r="E28" s="8">
        <f t="shared" si="10"/>
        <v>3.8</v>
      </c>
      <c r="F28" s="3">
        <f t="shared" si="11"/>
        <v>23.690671281614136</v>
      </c>
      <c r="G28" s="12">
        <v>30</v>
      </c>
      <c r="H28" s="8">
        <f t="shared" si="12"/>
        <v>3.75</v>
      </c>
      <c r="I28" s="3">
        <f t="shared" si="13"/>
        <v>25</v>
      </c>
      <c r="J28" s="12">
        <v>41</v>
      </c>
      <c r="K28" s="8">
        <f t="shared" si="14"/>
        <v>4.0999999999999996</v>
      </c>
      <c r="L28" s="3">
        <f t="shared" si="15"/>
        <v>23.102319711808526</v>
      </c>
      <c r="M28" s="12">
        <v>28</v>
      </c>
      <c r="N28" s="8">
        <f t="shared" si="16"/>
        <v>3.5</v>
      </c>
      <c r="O28" s="3">
        <f t="shared" si="17"/>
        <v>25</v>
      </c>
      <c r="P28" s="12">
        <v>65</v>
      </c>
      <c r="Q28" s="8">
        <f t="shared" si="18"/>
        <v>9.2857142857142865</v>
      </c>
      <c r="R28" s="3">
        <f t="shared" si="19"/>
        <v>53.307189138830736</v>
      </c>
    </row>
    <row r="29" spans="1:19" ht="22" x14ac:dyDescent="0.35">
      <c r="A29" s="6">
        <v>72</v>
      </c>
      <c r="B29" s="38">
        <v>5546000071</v>
      </c>
      <c r="C29" s="39" t="s">
        <v>75</v>
      </c>
      <c r="D29" s="12">
        <v>41</v>
      </c>
      <c r="E29" s="8">
        <f t="shared" si="10"/>
        <v>4.0999999999999996</v>
      </c>
      <c r="F29" s="3">
        <f t="shared" si="11"/>
        <v>29.975449129866284</v>
      </c>
      <c r="G29" s="12">
        <v>30</v>
      </c>
      <c r="H29" s="8">
        <f t="shared" si="12"/>
        <v>3.75</v>
      </c>
      <c r="I29" s="3">
        <f t="shared" si="13"/>
        <v>25</v>
      </c>
      <c r="J29" s="12">
        <v>41</v>
      </c>
      <c r="K29" s="8">
        <f t="shared" si="14"/>
        <v>4.0999999999999996</v>
      </c>
      <c r="L29" s="3">
        <f t="shared" si="15"/>
        <v>23.102319711808526</v>
      </c>
      <c r="M29" s="12">
        <v>28</v>
      </c>
      <c r="N29" s="8">
        <f t="shared" si="16"/>
        <v>3.5</v>
      </c>
      <c r="O29" s="3">
        <f t="shared" si="17"/>
        <v>25</v>
      </c>
      <c r="P29" s="12">
        <v>63</v>
      </c>
      <c r="Q29" s="8">
        <f t="shared" si="18"/>
        <v>9</v>
      </c>
      <c r="R29" s="3">
        <f t="shared" si="19"/>
        <v>40.078432583507784</v>
      </c>
    </row>
    <row r="30" spans="1:19" x14ac:dyDescent="0.35">
      <c r="C30" s="42" t="s">
        <v>13</v>
      </c>
      <c r="D30" s="9">
        <f>AVERAGE($D$22:$D$29)</f>
        <v>38.625</v>
      </c>
      <c r="G30" s="9">
        <f>AVERAGE($G$22:$G$29)</f>
        <v>30</v>
      </c>
      <c r="J30" s="9">
        <f>AVERAGE($J$22:$J$29)</f>
        <v>42.375</v>
      </c>
      <c r="M30" s="9">
        <f>AVERAGE($M$22:$M$29)</f>
        <v>28</v>
      </c>
      <c r="P30" s="9">
        <f>AVERAGE($P$22:$P$29)</f>
        <v>64.5</v>
      </c>
    </row>
    <row r="31" spans="1:19" x14ac:dyDescent="0.35">
      <c r="C31" s="42" t="s">
        <v>14</v>
      </c>
      <c r="D31" s="9">
        <f>STDEV($D$22:$D$29)</f>
        <v>2.3867192066576601</v>
      </c>
      <c r="F31" s="5"/>
      <c r="G31" s="9">
        <f>STDEV($G$22:$G$29)</f>
        <v>0</v>
      </c>
      <c r="J31" s="9">
        <f>STDEV($J$22:$J$29)</f>
        <v>3.6228441865473595</v>
      </c>
      <c r="L31" s="5"/>
      <c r="M31" s="9">
        <f>STDEV($M$22:$M$29)</f>
        <v>0</v>
      </c>
      <c r="P31" s="9">
        <f>STDEV($P$22:$P$29)</f>
        <v>1.5118578920369088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77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2</v>
      </c>
      <c r="B37" s="38">
        <v>5546000001</v>
      </c>
      <c r="C37" s="39" t="s">
        <v>68</v>
      </c>
      <c r="D37" s="12">
        <v>19</v>
      </c>
      <c r="E37" s="8">
        <f>(D37*$E$36)/$D$36</f>
        <v>3.1666666666666665</v>
      </c>
      <c r="F37" s="3">
        <f>IF($D$46=0,50,(50+(10*(STANDARDIZE(D37,$D$45,$D$46)))))*$F$36</f>
        <v>15.337241468450928</v>
      </c>
      <c r="G37" s="12">
        <v>25</v>
      </c>
      <c r="H37" s="8">
        <f>(G37*$H$36)/$G$36</f>
        <v>2.5</v>
      </c>
      <c r="I37" s="3">
        <f>IF($G$46=0,50,(50+(10*(STANDARDIZE(G37,$G$45,$G$46)))))*$I$36</f>
        <v>16.807793207892889</v>
      </c>
      <c r="J37" s="12">
        <v>39</v>
      </c>
      <c r="K37" s="8">
        <f>(J37*$K$36)/$J$36</f>
        <v>3.25</v>
      </c>
      <c r="L37" s="3">
        <f>IF($J$46=0,50,(50+(10*(STANDARDIZE(J37,$J$45,$J$46)))))*$L$36</f>
        <v>25.336662990113137</v>
      </c>
      <c r="M37" s="9"/>
      <c r="N37" s="19"/>
      <c r="O37" s="9"/>
      <c r="P37" s="2"/>
      <c r="Q37" s="19"/>
      <c r="R37" s="9"/>
    </row>
    <row r="38" spans="1:22" ht="22" x14ac:dyDescent="0.35">
      <c r="A38" s="6">
        <v>12</v>
      </c>
      <c r="B38" s="38">
        <v>5546000011</v>
      </c>
      <c r="C38" s="39" t="s">
        <v>69</v>
      </c>
      <c r="D38" s="12">
        <v>24</v>
      </c>
      <c r="E38" s="8">
        <f t="shared" ref="E38:E44" si="20">(D38*$E$36)/$D$36</f>
        <v>4</v>
      </c>
      <c r="F38" s="3">
        <f t="shared" ref="F38:F44" si="21">IF($D$46=0,50,(50+(10*(STANDARDIZE(D38,$D$45,$D$46)))))*$F$36</f>
        <v>26.38039407593558</v>
      </c>
      <c r="G38" s="12">
        <v>50</v>
      </c>
      <c r="H38" s="8">
        <f t="shared" ref="H38:H44" si="22">(G38*$H$36)/$G$36</f>
        <v>5</v>
      </c>
      <c r="I38" s="3">
        <f t="shared" ref="I38:I44" si="23">IF($G$46=0,50,(50+(10*(STANDARDIZE(G38,$G$45,$G$46)))))*$I$36</f>
        <v>31.180085825624666</v>
      </c>
      <c r="J38" s="12">
        <v>48</v>
      </c>
      <c r="K38" s="8">
        <f t="shared" ref="K38:K44" si="24">(J38*$K$36)/$J$36</f>
        <v>4</v>
      </c>
      <c r="L38" s="3">
        <f t="shared" ref="L38:L44" si="25">IF($J$46=0,50,(50+(10*(STANDARDIZE(J38,$J$45,$J$46)))))*$L$36</f>
        <v>31.396596812149575</v>
      </c>
      <c r="M38" s="9"/>
      <c r="N38" s="19"/>
      <c r="O38" s="9"/>
      <c r="P38" s="2"/>
      <c r="Q38" s="19"/>
      <c r="R38" s="9"/>
    </row>
    <row r="39" spans="1:22" ht="22" x14ac:dyDescent="0.35">
      <c r="A39" s="6">
        <v>22</v>
      </c>
      <c r="B39" s="38">
        <v>5546000021</v>
      </c>
      <c r="C39" s="39" t="s">
        <v>70</v>
      </c>
      <c r="D39" s="12">
        <v>23</v>
      </c>
      <c r="E39" s="8">
        <f t="shared" si="20"/>
        <v>3.8333333333333335</v>
      </c>
      <c r="F39" s="3">
        <f t="shared" si="21"/>
        <v>24.171763554438652</v>
      </c>
      <c r="G39" s="12">
        <v>38</v>
      </c>
      <c r="H39" s="8">
        <f t="shared" si="22"/>
        <v>3.8</v>
      </c>
      <c r="I39" s="3">
        <f t="shared" si="23"/>
        <v>24.281385369113412</v>
      </c>
      <c r="J39" s="12">
        <v>43</v>
      </c>
      <c r="K39" s="8">
        <f t="shared" si="24"/>
        <v>3.5833333333333335</v>
      </c>
      <c r="L39" s="3">
        <f t="shared" si="25"/>
        <v>28.029966911018217</v>
      </c>
      <c r="M39" s="9"/>
      <c r="N39" s="19"/>
      <c r="O39" s="9"/>
      <c r="P39" s="2"/>
      <c r="Q39" s="19"/>
      <c r="R39" s="9"/>
    </row>
    <row r="40" spans="1:22" ht="22" x14ac:dyDescent="0.35">
      <c r="A40" s="6">
        <v>32</v>
      </c>
      <c r="B40" s="38">
        <v>5546000031</v>
      </c>
      <c r="C40" s="39" t="s">
        <v>71</v>
      </c>
      <c r="D40" s="12">
        <v>22</v>
      </c>
      <c r="E40" s="8">
        <f t="shared" si="20"/>
        <v>3.6666666666666665</v>
      </c>
      <c r="F40" s="3">
        <f t="shared" si="21"/>
        <v>21.96313303294172</v>
      </c>
      <c r="G40" s="12">
        <v>31</v>
      </c>
      <c r="H40" s="8">
        <f t="shared" si="22"/>
        <v>3.1</v>
      </c>
      <c r="I40" s="3">
        <f t="shared" si="23"/>
        <v>20.257143436148514</v>
      </c>
      <c r="J40" s="12">
        <v>31</v>
      </c>
      <c r="K40" s="8">
        <f t="shared" si="24"/>
        <v>2.5833333333333335</v>
      </c>
      <c r="L40" s="3">
        <f t="shared" si="25"/>
        <v>19.950055148302969</v>
      </c>
      <c r="M40" s="9"/>
      <c r="N40" s="19"/>
      <c r="O40" s="9"/>
      <c r="P40" s="2"/>
      <c r="Q40" s="19"/>
      <c r="R40" s="9"/>
    </row>
    <row r="41" spans="1:22" ht="22" x14ac:dyDescent="0.35">
      <c r="A41" s="6">
        <v>42</v>
      </c>
      <c r="B41" s="38">
        <v>5546000041</v>
      </c>
      <c r="C41" s="39" t="s">
        <v>72</v>
      </c>
      <c r="D41" s="12">
        <v>26</v>
      </c>
      <c r="E41" s="8">
        <f t="shared" si="20"/>
        <v>4.333333333333333</v>
      </c>
      <c r="F41" s="3">
        <f t="shared" si="21"/>
        <v>30.797655118929441</v>
      </c>
      <c r="G41" s="12">
        <v>38</v>
      </c>
      <c r="H41" s="8">
        <f t="shared" si="22"/>
        <v>3.8</v>
      </c>
      <c r="I41" s="3">
        <f t="shared" si="23"/>
        <v>24.281385369113412</v>
      </c>
      <c r="J41" s="12">
        <v>36</v>
      </c>
      <c r="K41" s="8">
        <f t="shared" si="24"/>
        <v>3</v>
      </c>
      <c r="L41" s="3">
        <f t="shared" si="25"/>
        <v>23.316685049434323</v>
      </c>
      <c r="M41" s="9"/>
      <c r="N41" s="19"/>
      <c r="O41" s="9"/>
      <c r="P41" s="2"/>
      <c r="Q41" s="19"/>
      <c r="R41" s="9"/>
    </row>
    <row r="42" spans="1:22" ht="22" x14ac:dyDescent="0.35">
      <c r="A42" s="6">
        <v>52</v>
      </c>
      <c r="B42" s="38">
        <v>5546000051</v>
      </c>
      <c r="C42" s="39" t="s">
        <v>73</v>
      </c>
      <c r="D42" s="12">
        <v>23</v>
      </c>
      <c r="E42" s="8">
        <f t="shared" si="20"/>
        <v>3.8333333333333335</v>
      </c>
      <c r="F42" s="3">
        <f t="shared" si="21"/>
        <v>24.171763554438652</v>
      </c>
      <c r="G42" s="12">
        <v>38</v>
      </c>
      <c r="H42" s="8">
        <f t="shared" si="22"/>
        <v>3.8</v>
      </c>
      <c r="I42" s="3">
        <f t="shared" si="23"/>
        <v>24.281385369113412</v>
      </c>
      <c r="J42" s="12">
        <v>48</v>
      </c>
      <c r="K42" s="8">
        <f t="shared" si="24"/>
        <v>4</v>
      </c>
      <c r="L42" s="3">
        <f t="shared" si="25"/>
        <v>31.396596812149575</v>
      </c>
      <c r="M42" s="9"/>
      <c r="N42" s="19"/>
      <c r="O42" s="9"/>
      <c r="P42" s="2"/>
      <c r="Q42" s="19"/>
      <c r="R42" s="9"/>
    </row>
    <row r="43" spans="1:22" ht="22" x14ac:dyDescent="0.35">
      <c r="A43" s="6">
        <v>62</v>
      </c>
      <c r="B43" s="38">
        <v>5546000061</v>
      </c>
      <c r="C43" s="39" t="s">
        <v>74</v>
      </c>
      <c r="D43" s="12">
        <v>24</v>
      </c>
      <c r="E43" s="8">
        <f t="shared" si="20"/>
        <v>4</v>
      </c>
      <c r="F43" s="3">
        <f t="shared" si="21"/>
        <v>26.38039407593558</v>
      </c>
      <c r="G43" s="12">
        <v>50</v>
      </c>
      <c r="H43" s="8">
        <f t="shared" si="22"/>
        <v>5</v>
      </c>
      <c r="I43" s="3">
        <f t="shared" si="23"/>
        <v>31.180085825624666</v>
      </c>
      <c r="J43" s="12">
        <v>35</v>
      </c>
      <c r="K43" s="8">
        <f t="shared" si="24"/>
        <v>2.9166666666666665</v>
      </c>
      <c r="L43" s="3">
        <f t="shared" si="25"/>
        <v>22.643359069208053</v>
      </c>
      <c r="M43" s="9"/>
      <c r="N43" s="19"/>
      <c r="O43" s="9"/>
      <c r="P43" s="2"/>
      <c r="Q43" s="19"/>
      <c r="R43" s="9"/>
    </row>
    <row r="44" spans="1:22" ht="22" x14ac:dyDescent="0.35">
      <c r="A44" s="6">
        <v>72</v>
      </c>
      <c r="B44" s="38">
        <v>5546000071</v>
      </c>
      <c r="C44" s="39" t="s">
        <v>75</v>
      </c>
      <c r="D44" s="12">
        <v>26</v>
      </c>
      <c r="E44" s="8">
        <f t="shared" si="20"/>
        <v>4.333333333333333</v>
      </c>
      <c r="F44" s="3">
        <f t="shared" si="21"/>
        <v>30.797655118929441</v>
      </c>
      <c r="G44" s="12">
        <v>44</v>
      </c>
      <c r="H44" s="8">
        <f t="shared" si="22"/>
        <v>4.4000000000000004</v>
      </c>
      <c r="I44" s="3">
        <f t="shared" si="23"/>
        <v>27.730735597369037</v>
      </c>
      <c r="J44" s="12">
        <v>28</v>
      </c>
      <c r="K44" s="8">
        <f t="shared" si="24"/>
        <v>2.3333333333333335</v>
      </c>
      <c r="L44" s="3">
        <f t="shared" si="25"/>
        <v>17.930077207624159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23.375</v>
      </c>
      <c r="G45" s="9">
        <f>AVERAGE($G$37:$G$44)</f>
        <v>39.25</v>
      </c>
      <c r="J45" s="9">
        <f>AVERAGE($J$37:$J$44)</f>
        <v>38.5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2.2638462845343543</v>
      </c>
      <c r="F46" s="5"/>
      <c r="G46" s="9">
        <f>STDEV($G$37:$G$44)</f>
        <v>8.6972902183873995</v>
      </c>
      <c r="J46" s="9">
        <f>STDEV($J$37:$J$44)</f>
        <v>7.4258236676383005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6">
        <v>2</v>
      </c>
      <c r="B97" s="38">
        <v>5546000001</v>
      </c>
      <c r="C97" s="39" t="s">
        <v>68</v>
      </c>
      <c r="D97" s="8">
        <f>ROUND(SUM(E8,H8,K8,N8,Q8,E22,H22,K22,N22,Q22,E37,H37,K37,N37,Q37,E52,H52,K52,N52,Q52,E67,H67,K67,N67,Q67,E82,H82,K82,N82,Q82),2)</f>
        <v>72.63</v>
      </c>
      <c r="E97" s="8">
        <f>ROUND(SUM(F8,I8,L8,O8,R8,F22,I22,L22,O22,R22,F37,I37,L37,O37,R37,F52,I52,L52,O52,R52,F67,I67,L67,O67,R67,F82,I82,L82,O82,R82),2)</f>
        <v>430.45</v>
      </c>
      <c r="F97" s="7" t="str">
        <f>IF($I$100="-","-",IF(E97&gt;=$I$97,$K$97,IF(E97&gt;=$I$98,$K$98,IF(E97&gt;=$I$99,$K$99,IF(E97&gt;=$I$100,$K$100,IF(E97&gt;=$I$101,$K$101,IF(E97&gt;=$I$102,$K$102,IF(E97&gt;=$I$103,$K$103,IF(E97&gt;=$I$104,$K$104)))))))))</f>
        <v>C+</v>
      </c>
      <c r="G97" s="7" t="str">
        <f>IF($O$100="-","-",IF(E97&gt;=$N$97,$Q$97,IF(E97&gt;=$N$98,$Q$98,IF(E97&gt;=$N$99,$Q$99,IF(E97&gt;=$N$100,$Q$100,IF(E97&gt;=$N$101,$Q$101,IF(E97&gt;=$N$102,$Q$102,IF(E97&lt;=$P$103,$Q$103))))))))</f>
        <v>-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>
        <f>IF(F97="-","-",COUNTIF($F$97:$F$104,K97))</f>
        <v>0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 t="str">
        <f>IF(G97="-","-",COUNTIF($G$97:$G$104,Q97))</f>
        <v>-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6">
        <v>12</v>
      </c>
      <c r="B98" s="38">
        <v>5546000011</v>
      </c>
      <c r="C98" s="39" t="s">
        <v>69</v>
      </c>
      <c r="D98" s="8">
        <f t="shared" ref="D98:E104" si="27">ROUND(SUM(E9,H9,K9,N9,Q9,E23,H23,K23,N23,Q23,E38,H38,K38,N38,Q38,E53,H53,K53,N53,Q53,E68,H68,K68,N68,Q68,E83,H83,K83,N83,Q83),2)</f>
        <v>85.48</v>
      </c>
      <c r="E98" s="8">
        <f t="shared" si="27"/>
        <v>572.22</v>
      </c>
      <c r="F98" s="7" t="str">
        <f t="shared" ref="F98:F104" si="28">IF($I$100="-","-",IF(E98&gt;=$I$97,$K$97,IF(E98&gt;=$I$98,$K$98,IF(E98&gt;=$I$99,$K$99,IF(E98&gt;=$I$100,$K$100,IF(E98&gt;=$I$101,$K$101,IF(E98&gt;=$I$102,$K$102,IF(E98&gt;=$I$103,$K$103,IF(E98&gt;=$I$104,$K$104)))))))))</f>
        <v>A</v>
      </c>
      <c r="G98" s="7" t="str">
        <f t="shared" ref="G98:G104" si="29">IF($O$100="-","-",IF(E98&gt;=$N$97,$Q$97,IF(E98&gt;=$N$98,$Q$98,IF(E98&gt;=$N$99,$Q$99,IF(E98&gt;=$N$100,$Q$100,IF(E98&gt;=$N$101,$Q$101,IF(E98&gt;=$N$102,$Q$102,IF(E98&lt;=$P$103,$Q$103))))))))</f>
        <v>-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>
        <f t="shared" ref="L98:L104" si="30">IF(F98="-","-",COUNTIF($F$97:$F$104,K98))</f>
        <v>0</v>
      </c>
      <c r="M98" s="20" t="e">
        <f t="shared" ref="M98:M104" si="31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 t="str">
        <f t="shared" ref="R98:R103" si="32">IF(G98="-","-",COUNTIF($G$97:$G$104,Q98))</f>
        <v>-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22</v>
      </c>
      <c r="B99" s="38">
        <v>5546000021</v>
      </c>
      <c r="C99" s="39" t="s">
        <v>70</v>
      </c>
      <c r="D99" s="8">
        <f t="shared" si="27"/>
        <v>81.59</v>
      </c>
      <c r="E99" s="8">
        <f t="shared" si="27"/>
        <v>536.12</v>
      </c>
      <c r="F99" s="7" t="str">
        <f t="shared" si="28"/>
        <v>A</v>
      </c>
      <c r="G99" s="7" t="str">
        <f t="shared" si="29"/>
        <v>-</v>
      </c>
      <c r="I99" s="6">
        <f>IF(OR($E$110=8,$E$110=6,$E$110=4),$J$100+0.01,"-")</f>
        <v>535.93999999999994</v>
      </c>
      <c r="J99" s="6">
        <f>IF(OR($E$110=8,$E$110=6,$E$110=4),$I$99+$E$111,"-")</f>
        <v>571.86999999999989</v>
      </c>
      <c r="K99" s="7" t="str">
        <f>IF($E$110=8,$T$95,IF($E$110=6,$T$94,IF($E$110=4,$T$93,"-")))</f>
        <v>A</v>
      </c>
      <c r="L99" s="7">
        <f t="shared" si="30"/>
        <v>3</v>
      </c>
      <c r="M99" s="20">
        <f t="shared" si="31"/>
        <v>35.92999999999995</v>
      </c>
      <c r="N99" s="8" t="str">
        <f>IF(OR($E$110=3,$E$110=5,$E$110=7),$P$100+0.01,"-")</f>
        <v>-</v>
      </c>
      <c r="O99" s="13"/>
      <c r="P99" s="8" t="str">
        <f>IF(OR($E$110=3,$E$110=5,$E$110=7),$N$99+$E$111,"-")</f>
        <v>-</v>
      </c>
      <c r="Q99" s="7" t="str">
        <f>IF($E$110=7,$T$95,IF($E$110=5,$T$94,IF($E$110=3,$T$93,"-")))</f>
        <v>-</v>
      </c>
      <c r="R99" s="7" t="str">
        <f t="shared" si="32"/>
        <v>-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32</v>
      </c>
      <c r="B100" s="38">
        <v>5546000031</v>
      </c>
      <c r="C100" s="39" t="s">
        <v>71</v>
      </c>
      <c r="D100" s="8">
        <f t="shared" si="27"/>
        <v>71.16</v>
      </c>
      <c r="E100" s="8">
        <f t="shared" si="27"/>
        <v>428.49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C+</v>
      </c>
      <c r="G100" s="7" t="str">
        <f t="shared" si="29"/>
        <v>-</v>
      </c>
      <c r="I100" s="31">
        <f>IF(OR($E$110=2,$E$110=4,$E$110=6,$E$110=8),$E$106,"-")</f>
        <v>500</v>
      </c>
      <c r="J100" s="8">
        <f>IF(OR($E$110=2,$E$110=4,$E$110=6,$E$110=8),$E$106+$E$111,"-")</f>
        <v>535.92999999999995</v>
      </c>
      <c r="K100" s="7" t="str">
        <f>IF($E$110=8,$T$96,IF($E$110=6,$T$95,IF($E$110=4,$T$94,IF($E$110=2,$T$93,"-"))))</f>
        <v>B+</v>
      </c>
      <c r="L100" s="7">
        <f t="shared" si="30"/>
        <v>1</v>
      </c>
      <c r="M100" s="20">
        <f t="shared" si="31"/>
        <v>35.92999999999995</v>
      </c>
      <c r="N100" s="8" t="str">
        <f>IF(OR($E$110=1,$E$110=3,$E$110=5,$E$110=7),$E$106-($E$111/2),"-")</f>
        <v>-</v>
      </c>
      <c r="O100" s="31" t="str">
        <f>IF(OR($E$110=1,$E$110=3,$E$110=5,$E$110=7),$E$106,"-")</f>
        <v>-</v>
      </c>
      <c r="P100" s="8" t="str">
        <f>IF(OR($E$110=1,$E$110=3,$E$110=5,$E$110=7),$E$106+($E$111/2),"-")</f>
        <v>-</v>
      </c>
      <c r="Q100" s="7" t="str">
        <f>IF($E$110=7,$T$96,IF($E$110=5,$T$95,IF($E$110=3,$T$94,IF($E$110=1,$T$93,"-"))))</f>
        <v>-</v>
      </c>
      <c r="R100" s="7" t="str">
        <f t="shared" si="32"/>
        <v>-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42</v>
      </c>
      <c r="B101" s="38">
        <v>5546000041</v>
      </c>
      <c r="C101" s="39" t="s">
        <v>72</v>
      </c>
      <c r="D101" s="8">
        <f t="shared" si="27"/>
        <v>77.03</v>
      </c>
      <c r="E101" s="8">
        <f t="shared" si="27"/>
        <v>489.96</v>
      </c>
      <c r="F101" s="7" t="str">
        <f t="shared" si="28"/>
        <v>B</v>
      </c>
      <c r="G101" s="7" t="str">
        <f t="shared" si="29"/>
        <v>-</v>
      </c>
      <c r="I101" s="6">
        <f>IF(OR($E$110=2,$E$110=4,$E$110=6,$E$110=8),$J$101-$E$111,"-")</f>
        <v>464.06</v>
      </c>
      <c r="J101" s="8">
        <f>IF(OR($E$110=2,$E$110=4,$E$110=6,$E$110=8),$I$100-0.01,"-")</f>
        <v>499.99</v>
      </c>
      <c r="K101" s="7" t="str">
        <f>IF($E$110=8,$T$97,IF($E$110=6,$T$96,IF($E$110=4,$T$95,IF($E$110=2,$T$94,"-"))))</f>
        <v>B</v>
      </c>
      <c r="L101" s="7">
        <f t="shared" si="30"/>
        <v>2</v>
      </c>
      <c r="M101" s="20">
        <f t="shared" si="31"/>
        <v>35.930000000000007</v>
      </c>
      <c r="N101" s="8" t="str">
        <f>IF(OR($E$110=3,$E$110=5,$E$110=7),$P$101-$E$111,"-")</f>
        <v>-</v>
      </c>
      <c r="O101" s="13"/>
      <c r="P101" s="8" t="str">
        <f>IF(OR($E$110=3,$E$110=5,$E$110=7),$N$100-0.01,"-")</f>
        <v>-</v>
      </c>
      <c r="Q101" s="7" t="str">
        <f>IF($E$110=7,$T$97,IF($E$110=5,$T$96,IF($E$110=3,$T$95,"-")))</f>
        <v>-</v>
      </c>
      <c r="R101" s="7" t="str">
        <f t="shared" si="32"/>
        <v>-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52</v>
      </c>
      <c r="B102" s="38">
        <v>5546000051</v>
      </c>
      <c r="C102" s="39" t="s">
        <v>73</v>
      </c>
      <c r="D102" s="8">
        <f t="shared" si="27"/>
        <v>77.55</v>
      </c>
      <c r="E102" s="8">
        <f t="shared" si="27"/>
        <v>501.2</v>
      </c>
      <c r="F102" s="7" t="str">
        <f t="shared" si="28"/>
        <v>B+</v>
      </c>
      <c r="G102" s="7" t="str">
        <f t="shared" si="29"/>
        <v>-</v>
      </c>
      <c r="I102" s="47">
        <f>IF(OR($E$110=4,$E$110=6,$E$110=8),$J$102-$E$111,"-")</f>
        <v>428.12</v>
      </c>
      <c r="J102" s="6">
        <f>IF(OR($E$110=8,$E$110=6,$E$110=4),$I$101-0.01,"-")</f>
        <v>464.05</v>
      </c>
      <c r="K102" s="7" t="str">
        <f>IF($E$110=8,$T$98,IF($E$110=6,$T$97,IF($E$110=4,$T$96,"-")))</f>
        <v>C+</v>
      </c>
      <c r="L102" s="7">
        <f t="shared" si="30"/>
        <v>2</v>
      </c>
      <c r="M102" s="20">
        <f t="shared" si="31"/>
        <v>35.930000000000007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 t="str">
        <f t="shared" si="32"/>
        <v>-</v>
      </c>
    </row>
    <row r="103" spans="1:20" ht="23" thickBot="1" x14ac:dyDescent="0.4">
      <c r="A103" s="6">
        <v>62</v>
      </c>
      <c r="B103" s="38">
        <v>5546000061</v>
      </c>
      <c r="C103" s="39" t="s">
        <v>74</v>
      </c>
      <c r="D103" s="8">
        <f t="shared" si="27"/>
        <v>83.95</v>
      </c>
      <c r="E103" s="8">
        <f t="shared" si="27"/>
        <v>563.16999999999996</v>
      </c>
      <c r="F103" s="7" t="str">
        <f t="shared" si="28"/>
        <v>A</v>
      </c>
      <c r="G103" s="7" t="str">
        <f t="shared" si="29"/>
        <v>-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>
        <f t="shared" si="30"/>
        <v>0</v>
      </c>
      <c r="M103" s="20" t="e">
        <f t="shared" si="31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 t="str">
        <f t="shared" si="32"/>
        <v>-</v>
      </c>
    </row>
    <row r="104" spans="1:20" ht="23" thickBot="1" x14ac:dyDescent="0.4">
      <c r="A104" s="6">
        <v>72</v>
      </c>
      <c r="B104" s="38">
        <v>5546000071</v>
      </c>
      <c r="C104" s="39" t="s">
        <v>75</v>
      </c>
      <c r="D104" s="8">
        <f t="shared" si="27"/>
        <v>77.08</v>
      </c>
      <c r="E104" s="8">
        <f t="shared" si="27"/>
        <v>478.39</v>
      </c>
      <c r="F104" s="7" t="str">
        <f t="shared" si="28"/>
        <v>B</v>
      </c>
      <c r="G104" s="7" t="str">
        <f t="shared" si="29"/>
        <v>-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>
        <f t="shared" si="30"/>
        <v>0</v>
      </c>
      <c r="M104" s="20" t="e">
        <f t="shared" si="31"/>
        <v>#VALUE!</v>
      </c>
      <c r="N104" s="218" t="s">
        <v>1</v>
      </c>
      <c r="O104" s="219"/>
      <c r="P104" s="219"/>
      <c r="Q104" s="220"/>
      <c r="R104" s="33">
        <f>SUM($R$97:$R$103)</f>
        <v>0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>
        <f>SUM($L$97:$L$104)</f>
        <v>8</v>
      </c>
    </row>
    <row r="106" spans="1:20" x14ac:dyDescent="0.35">
      <c r="C106" s="4" t="s">
        <v>13</v>
      </c>
      <c r="D106" s="37">
        <f>ROUND(AVERAGE($D$97:$D$104),2)</f>
        <v>78.31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85.48</v>
      </c>
      <c r="E107" s="37">
        <f>ROUND(MAX($E$97:$E$104),2)</f>
        <v>572.22</v>
      </c>
      <c r="I107" s="45"/>
      <c r="J107" s="45"/>
    </row>
    <row r="108" spans="1:20" x14ac:dyDescent="0.35">
      <c r="C108" s="4" t="s">
        <v>19</v>
      </c>
      <c r="D108" s="37">
        <f>ROUND(MIN($D$97:$D$104),2)</f>
        <v>71.16</v>
      </c>
      <c r="E108" s="37">
        <f>ROUND(MIN($E$97:$E$104),2)</f>
        <v>428.49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143.72999999999999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4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35.93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N104:Q104"/>
    <mergeCell ref="I105:K105"/>
    <mergeCell ref="N111:R111"/>
    <mergeCell ref="N112:R112"/>
    <mergeCell ref="N113:R113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G34:I34"/>
    <mergeCell ref="J34:L34"/>
    <mergeCell ref="M34:O34"/>
    <mergeCell ref="P34:R34"/>
    <mergeCell ref="M49:O49"/>
    <mergeCell ref="P49:R49"/>
    <mergeCell ref="D33:F33"/>
    <mergeCell ref="A34:A36"/>
    <mergeCell ref="B34:B36"/>
    <mergeCell ref="C34:C36"/>
    <mergeCell ref="D34:F34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</mergeCells>
  <pageMargins left="0.70866141732283472" right="0.70866141732283472" top="0.31496062992125984" bottom="0.19685039370078741" header="0.31496062992125984" footer="0.19685039370078741"/>
  <pageSetup paperSize="9" scale="79" orientation="landscape" verticalDpi="300" r:id="rId1"/>
  <rowBreaks count="3" manualBreakCount="3">
    <brk id="32" max="16383" man="1"/>
    <brk id="62" max="17" man="1"/>
    <brk id="9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113"/>
  <sheetViews>
    <sheetView view="pageBreakPreview" topLeftCell="A93" zoomScale="90" zoomScaleNormal="90" zoomScaleSheetLayoutView="90" workbookViewId="0">
      <selection activeCell="C97" sqref="C97:F104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3</v>
      </c>
      <c r="B8" s="38">
        <v>5546000002</v>
      </c>
      <c r="C8" s="39" t="s">
        <v>80</v>
      </c>
      <c r="D8" s="12">
        <v>68</v>
      </c>
      <c r="E8" s="8">
        <f>(D8*$E$7)/$D$7</f>
        <v>18.133333333333333</v>
      </c>
      <c r="F8" s="3">
        <f>IF($D$17=0,50,(50+(10*(STANDARDIZE(D8,$D$16,$D$17)))))*$F$7</f>
        <v>81.056379451285693</v>
      </c>
      <c r="G8" s="12">
        <v>25</v>
      </c>
      <c r="H8" s="8">
        <f>(G8*$H$7)/$G$7</f>
        <v>8.3333333333333339</v>
      </c>
      <c r="I8" s="3">
        <f>IF($G$17=0,50,(50+(10*(STANDARDIZE(G8,$G$16,$G$17)))))*$I$7</f>
        <v>37.523706690813889</v>
      </c>
      <c r="J8" s="12">
        <v>45</v>
      </c>
      <c r="K8" s="8">
        <f>(J8*$K$7)/$J$7</f>
        <v>4.5</v>
      </c>
      <c r="L8" s="3">
        <f>IF($J$17=0,50,(50+(10*(STANDARDIZE(J8,$J$16,$J$17)))))*$L$7</f>
        <v>19.324093985017978</v>
      </c>
      <c r="M8" s="12">
        <v>81</v>
      </c>
      <c r="N8" s="8">
        <f>(M8*$N$7)/$M$7</f>
        <v>8.1</v>
      </c>
      <c r="O8" s="3">
        <f>IF($M$17=0,50,(50+(10*(STANDARDIZE(M8,$M$16,$M$17)))))*$O$7</f>
        <v>41.913062957791887</v>
      </c>
      <c r="P8" s="12">
        <v>45</v>
      </c>
      <c r="Q8" s="8">
        <f>(P8*$Q$7)/$P$7</f>
        <v>9</v>
      </c>
      <c r="R8" s="3">
        <f>IF($P$17=0,50,(50+(10*(STANDARDIZE(P8,$P$16,$P$17)))))*$R$7</f>
        <v>41.633399734659243</v>
      </c>
    </row>
    <row r="9" spans="1:22" ht="22" x14ac:dyDescent="0.35">
      <c r="A9" s="6">
        <v>13</v>
      </c>
      <c r="B9" s="38">
        <v>5546000012</v>
      </c>
      <c r="C9" s="39" t="s">
        <v>81</v>
      </c>
      <c r="D9" s="12">
        <v>68</v>
      </c>
      <c r="E9" s="8">
        <f t="shared" ref="E9:E15" si="0">(D9*$E$7)/$D$7</f>
        <v>18.133333333333333</v>
      </c>
      <c r="F9" s="3">
        <f t="shared" ref="F9:F15" si="1">IF($D$17=0,50,(50+(10*(STANDARDIZE(D9,$D$16,$D$17)))))*$F$7</f>
        <v>81.056379451285693</v>
      </c>
      <c r="G9" s="12">
        <v>26</v>
      </c>
      <c r="H9" s="8">
        <f t="shared" ref="H9:H15" si="2">(G9*$H$7)/$G$7</f>
        <v>8.6666666666666661</v>
      </c>
      <c r="I9" s="3">
        <f t="shared" ref="I9:I15" si="3">IF($G$17=0,50,(50+(10*(STANDARDIZE(G9,$G$16,$G$17)))))*$I$7</f>
        <v>45.201425650313034</v>
      </c>
      <c r="J9" s="12">
        <v>46</v>
      </c>
      <c r="K9" s="8">
        <f t="shared" ref="K9:K15" si="4">(J9*$K$7)/$J$7</f>
        <v>4.5999999999999996</v>
      </c>
      <c r="L9" s="3">
        <f t="shared" ref="L9:L15" si="5">IF($J$17=0,50,(50+(10*(STANDARDIZE(J9,$J$16,$J$17)))))*$L$7</f>
        <v>21.846718880565543</v>
      </c>
      <c r="M9" s="12">
        <v>83</v>
      </c>
      <c r="N9" s="8">
        <f t="shared" ref="N9:N15" si="6">(M9*$N$7)/$M$7</f>
        <v>8.3000000000000007</v>
      </c>
      <c r="O9" s="3">
        <f t="shared" ref="O9:O15" si="7">IF($M$17=0,50,(50+(10*(STANDARDIZE(M9,$M$16,$M$17)))))*$O$7</f>
        <v>45.31808908082688</v>
      </c>
      <c r="P9" s="12">
        <v>45</v>
      </c>
      <c r="Q9" s="8">
        <f t="shared" ref="Q9:Q15" si="8">(P9*$Q$7)/$P$7</f>
        <v>9</v>
      </c>
      <c r="R9" s="3">
        <f t="shared" ref="R9:R15" si="9">IF($P$17=0,50,(50+(10*(STANDARDIZE(P9,$P$16,$P$17)))))*$R$7</f>
        <v>41.633399734659243</v>
      </c>
      <c r="V9" s="1" t="s">
        <v>2</v>
      </c>
    </row>
    <row r="10" spans="1:22" ht="22" x14ac:dyDescent="0.35">
      <c r="A10" s="6">
        <v>23</v>
      </c>
      <c r="B10" s="38">
        <v>5546000022</v>
      </c>
      <c r="C10" s="39" t="s">
        <v>82</v>
      </c>
      <c r="D10" s="12">
        <v>73</v>
      </c>
      <c r="E10" s="8">
        <f t="shared" si="0"/>
        <v>19.466666666666665</v>
      </c>
      <c r="F10" s="3">
        <f t="shared" si="1"/>
        <v>123.15331400398415</v>
      </c>
      <c r="G10" s="12">
        <v>28</v>
      </c>
      <c r="H10" s="8">
        <f t="shared" si="2"/>
        <v>9.3333333333333339</v>
      </c>
      <c r="I10" s="3">
        <f t="shared" si="3"/>
        <v>60.556863569311325</v>
      </c>
      <c r="J10" s="12">
        <v>49</v>
      </c>
      <c r="K10" s="8">
        <f t="shared" si="4"/>
        <v>4.9000000000000004</v>
      </c>
      <c r="L10" s="3">
        <f t="shared" si="5"/>
        <v>29.414593567208239</v>
      </c>
      <c r="M10" s="12">
        <v>92</v>
      </c>
      <c r="N10" s="8">
        <f t="shared" si="6"/>
        <v>9.1999999999999993</v>
      </c>
      <c r="O10" s="3">
        <f t="shared" si="7"/>
        <v>60.64070663448436</v>
      </c>
      <c r="P10" s="12">
        <v>47</v>
      </c>
      <c r="Q10" s="8">
        <f t="shared" si="8"/>
        <v>9.4</v>
      </c>
      <c r="R10" s="3">
        <f t="shared" si="9"/>
        <v>58.366600265340757</v>
      </c>
    </row>
    <row r="11" spans="1:22" ht="22" x14ac:dyDescent="0.35">
      <c r="A11" s="6">
        <v>33</v>
      </c>
      <c r="B11" s="38">
        <v>5546000032</v>
      </c>
      <c r="C11" s="39" t="s">
        <v>83</v>
      </c>
      <c r="D11" s="12">
        <v>68</v>
      </c>
      <c r="E11" s="8">
        <f t="shared" si="0"/>
        <v>18.133333333333333</v>
      </c>
      <c r="F11" s="3">
        <f t="shared" si="1"/>
        <v>81.056379451285693</v>
      </c>
      <c r="G11" s="12">
        <v>26</v>
      </c>
      <c r="H11" s="8">
        <f t="shared" si="2"/>
        <v>8.6666666666666661</v>
      </c>
      <c r="I11" s="3">
        <f t="shared" si="3"/>
        <v>45.201425650313034</v>
      </c>
      <c r="J11" s="12">
        <v>45</v>
      </c>
      <c r="K11" s="8">
        <f t="shared" si="4"/>
        <v>4.5</v>
      </c>
      <c r="L11" s="3">
        <f t="shared" si="5"/>
        <v>19.324093985017978</v>
      </c>
      <c r="M11" s="12">
        <v>81</v>
      </c>
      <c r="N11" s="8">
        <f t="shared" si="6"/>
        <v>8.1</v>
      </c>
      <c r="O11" s="3">
        <f t="shared" si="7"/>
        <v>41.913062957791887</v>
      </c>
      <c r="P11" s="12">
        <v>45</v>
      </c>
      <c r="Q11" s="8">
        <f t="shared" si="8"/>
        <v>9</v>
      </c>
      <c r="R11" s="3">
        <f t="shared" si="9"/>
        <v>41.633399734659243</v>
      </c>
      <c r="V11" s="1" t="s">
        <v>2</v>
      </c>
    </row>
    <row r="12" spans="1:22" ht="22" x14ac:dyDescent="0.35">
      <c r="A12" s="6">
        <v>43</v>
      </c>
      <c r="B12" s="38">
        <v>5546000042</v>
      </c>
      <c r="C12" s="39" t="s">
        <v>84</v>
      </c>
      <c r="D12" s="12">
        <v>70</v>
      </c>
      <c r="E12" s="8">
        <f t="shared" si="0"/>
        <v>18.666666666666668</v>
      </c>
      <c r="F12" s="3">
        <f t="shared" si="1"/>
        <v>97.895153272365079</v>
      </c>
      <c r="G12" s="12">
        <v>25</v>
      </c>
      <c r="H12" s="8">
        <f t="shared" si="2"/>
        <v>8.3333333333333339</v>
      </c>
      <c r="I12" s="3">
        <f t="shared" si="3"/>
        <v>37.523706690813889</v>
      </c>
      <c r="J12" s="12">
        <v>48</v>
      </c>
      <c r="K12" s="8">
        <f t="shared" si="4"/>
        <v>4.8</v>
      </c>
      <c r="L12" s="3">
        <f t="shared" si="5"/>
        <v>26.891968671660674</v>
      </c>
      <c r="M12" s="12">
        <v>82</v>
      </c>
      <c r="N12" s="8">
        <f t="shared" si="6"/>
        <v>8.1999999999999993</v>
      </c>
      <c r="O12" s="3">
        <f t="shared" si="7"/>
        <v>43.615576019309387</v>
      </c>
      <c r="P12" s="12">
        <v>46</v>
      </c>
      <c r="Q12" s="8">
        <f t="shared" si="8"/>
        <v>9.1999999999999993</v>
      </c>
      <c r="R12" s="3">
        <f t="shared" si="9"/>
        <v>50</v>
      </c>
    </row>
    <row r="13" spans="1:22" ht="22" x14ac:dyDescent="0.35">
      <c r="A13" s="6">
        <v>53</v>
      </c>
      <c r="B13" s="38">
        <v>5546000052</v>
      </c>
      <c r="C13" s="39" t="s">
        <v>85</v>
      </c>
      <c r="D13" s="12">
        <v>69</v>
      </c>
      <c r="E13" s="8">
        <f t="shared" si="0"/>
        <v>18.399999999999999</v>
      </c>
      <c r="F13" s="3">
        <f t="shared" si="1"/>
        <v>89.475766361825379</v>
      </c>
      <c r="G13" s="12">
        <v>27</v>
      </c>
      <c r="H13" s="8">
        <f t="shared" si="2"/>
        <v>9</v>
      </c>
      <c r="I13" s="3">
        <f t="shared" si="3"/>
        <v>52.87914460981218</v>
      </c>
      <c r="J13" s="12">
        <v>46</v>
      </c>
      <c r="K13" s="8">
        <f t="shared" si="4"/>
        <v>4.5999999999999996</v>
      </c>
      <c r="L13" s="3">
        <f t="shared" si="5"/>
        <v>21.846718880565543</v>
      </c>
      <c r="M13" s="12">
        <v>81</v>
      </c>
      <c r="N13" s="8">
        <f t="shared" si="6"/>
        <v>8.1</v>
      </c>
      <c r="O13" s="3">
        <f t="shared" si="7"/>
        <v>41.913062957791887</v>
      </c>
      <c r="P13" s="12">
        <v>45</v>
      </c>
      <c r="Q13" s="8">
        <f t="shared" si="8"/>
        <v>9</v>
      </c>
      <c r="R13" s="3">
        <f t="shared" si="9"/>
        <v>41.633399734659243</v>
      </c>
    </row>
    <row r="14" spans="1:22" ht="22" x14ac:dyDescent="0.35">
      <c r="A14" s="6">
        <v>63</v>
      </c>
      <c r="B14" s="38">
        <v>5546000062</v>
      </c>
      <c r="C14" s="39" t="s">
        <v>86</v>
      </c>
      <c r="D14" s="12">
        <v>73</v>
      </c>
      <c r="E14" s="8">
        <f t="shared" si="0"/>
        <v>19.466666666666665</v>
      </c>
      <c r="F14" s="3">
        <f t="shared" si="1"/>
        <v>123.15331400398415</v>
      </c>
      <c r="G14" s="12">
        <v>28</v>
      </c>
      <c r="H14" s="8">
        <f t="shared" si="2"/>
        <v>9.3333333333333339</v>
      </c>
      <c r="I14" s="3">
        <f t="shared" si="3"/>
        <v>60.556863569311325</v>
      </c>
      <c r="J14" s="12">
        <v>49</v>
      </c>
      <c r="K14" s="8">
        <f t="shared" si="4"/>
        <v>4.9000000000000004</v>
      </c>
      <c r="L14" s="3">
        <f t="shared" si="5"/>
        <v>29.414593567208239</v>
      </c>
      <c r="M14" s="12">
        <v>91</v>
      </c>
      <c r="N14" s="8">
        <f t="shared" si="6"/>
        <v>9.1</v>
      </c>
      <c r="O14" s="3">
        <f t="shared" si="7"/>
        <v>58.93819357296686</v>
      </c>
      <c r="P14" s="12">
        <v>47</v>
      </c>
      <c r="Q14" s="8">
        <f t="shared" si="8"/>
        <v>9.4</v>
      </c>
      <c r="R14" s="3">
        <f t="shared" si="9"/>
        <v>58.366600265340757</v>
      </c>
    </row>
    <row r="15" spans="1:22" ht="22" x14ac:dyDescent="0.35">
      <c r="A15" s="6">
        <v>73</v>
      </c>
      <c r="B15" s="38">
        <v>5546000072</v>
      </c>
      <c r="C15" s="39" t="s">
        <v>87</v>
      </c>
      <c r="D15" s="12">
        <v>73</v>
      </c>
      <c r="E15" s="8">
        <f t="shared" si="0"/>
        <v>19.466666666666665</v>
      </c>
      <c r="F15" s="3">
        <f t="shared" si="1"/>
        <v>123.15331400398415</v>
      </c>
      <c r="G15" s="12">
        <v>28</v>
      </c>
      <c r="H15" s="8">
        <f t="shared" si="2"/>
        <v>9.3333333333333339</v>
      </c>
      <c r="I15" s="3">
        <f t="shared" si="3"/>
        <v>60.556863569311325</v>
      </c>
      <c r="J15" s="12">
        <v>50</v>
      </c>
      <c r="K15" s="8">
        <f t="shared" si="4"/>
        <v>5</v>
      </c>
      <c r="L15" s="3">
        <f t="shared" si="5"/>
        <v>31.937218462755805</v>
      </c>
      <c r="M15" s="12">
        <v>95</v>
      </c>
      <c r="N15" s="8">
        <f t="shared" si="6"/>
        <v>9.5</v>
      </c>
      <c r="O15" s="3">
        <f t="shared" si="7"/>
        <v>65.748245819036853</v>
      </c>
      <c r="P15" s="12">
        <v>48</v>
      </c>
      <c r="Q15" s="8">
        <f t="shared" si="8"/>
        <v>9.6</v>
      </c>
      <c r="R15" s="3">
        <f t="shared" si="9"/>
        <v>66.733200530681515</v>
      </c>
    </row>
    <row r="16" spans="1:22" ht="18" customHeight="1" x14ac:dyDescent="0.35">
      <c r="C16" s="42" t="s">
        <v>13</v>
      </c>
      <c r="D16" s="9">
        <f>AVERAGE($D$8:$D$15)</f>
        <v>70.25</v>
      </c>
      <c r="E16" s="2"/>
      <c r="F16" s="2"/>
      <c r="G16" s="9">
        <f>AVERAGE($G$8:$G$15)</f>
        <v>26.625</v>
      </c>
      <c r="J16" s="9">
        <f>AVERAGE($J$8:$J$15)</f>
        <v>47.25</v>
      </c>
      <c r="M16" s="9">
        <f>AVERAGE($M$8:$M$15)</f>
        <v>85.75</v>
      </c>
      <c r="P16" s="9">
        <f>AVERAGE($P$8:$P$15)</f>
        <v>46</v>
      </c>
    </row>
    <row r="17" spans="1:19" ht="18" customHeight="1" x14ac:dyDescent="0.35">
      <c r="C17" s="42" t="s">
        <v>14</v>
      </c>
      <c r="D17" s="9">
        <f>STDEV($D$8:$D$15)</f>
        <v>2.3754698783308417</v>
      </c>
      <c r="E17" s="2"/>
      <c r="F17" s="2"/>
      <c r="G17" s="9">
        <f>STDEV($G$8:$G$15)</f>
        <v>1.3024701806293193</v>
      </c>
      <c r="J17" s="9">
        <f>STDEV($J$8:$J$15)</f>
        <v>1.9820624179302297</v>
      </c>
      <c r="M17" s="9">
        <f>STDEV(M8:M15)</f>
        <v>5.873670062235365</v>
      </c>
      <c r="P17" s="9">
        <f>STDEV(P8:P15)</f>
        <v>1.1952286093343936</v>
      </c>
    </row>
    <row r="18" spans="1:19" ht="18" customHeight="1" x14ac:dyDescent="0.35">
      <c r="C18" s="42"/>
      <c r="D18" s="206" t="s">
        <v>78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3</v>
      </c>
      <c r="B22" s="38">
        <v>5546000002</v>
      </c>
      <c r="C22" s="39" t="s">
        <v>80</v>
      </c>
      <c r="D22" s="12">
        <v>48</v>
      </c>
      <c r="E22" s="8">
        <f>(D22*$E$21)/$D$21</f>
        <v>4.8</v>
      </c>
      <c r="F22" s="3">
        <f>IF($D$31=0,50,(50+(10*(STANDARDIZE(D22,$D$30,$D$31)))))*$F$21</f>
        <v>25</v>
      </c>
      <c r="G22" s="12">
        <v>38</v>
      </c>
      <c r="H22" s="8">
        <f>(G22*$H$21)/$G$21</f>
        <v>4.75</v>
      </c>
      <c r="I22" s="3">
        <f>IF($G$31=0,50,(50+(10*(STANDARDIZE(G22,$G$30,$G$31)))))*$I$21</f>
        <v>25</v>
      </c>
      <c r="J22" s="12">
        <v>48</v>
      </c>
      <c r="K22" s="8">
        <f>(J22*$K$21)/$J$21</f>
        <v>4.8</v>
      </c>
      <c r="L22" s="3">
        <f>IF($J$31=0,50,(50+(10*(STANDARDIZE(J22,$J$30,$J$31)))))*$L$21</f>
        <v>25</v>
      </c>
      <c r="M22" s="12">
        <v>38</v>
      </c>
      <c r="N22" s="8">
        <f>(M22*$N$21)/$M$21</f>
        <v>4.75</v>
      </c>
      <c r="O22" s="3">
        <f>IF($M$31=0,50,(50+(10*(STANDARDIZE(M22,$M$30,$M$31)))))*$O$21</f>
        <v>25</v>
      </c>
      <c r="P22" s="12">
        <v>65</v>
      </c>
      <c r="Q22" s="8">
        <f>(P22*$Q$21)/$P$21</f>
        <v>9.2857142857142865</v>
      </c>
      <c r="R22" s="3">
        <f>IF($P$31=0,50,(50+(10*(STANDARDIZE(P22,$P$30,$P$31)))))*$R$21</f>
        <v>53.307189138830736</v>
      </c>
    </row>
    <row r="23" spans="1:19" ht="22" x14ac:dyDescent="0.35">
      <c r="A23" s="6">
        <v>13</v>
      </c>
      <c r="B23" s="38">
        <v>5546000012</v>
      </c>
      <c r="C23" s="39" t="s">
        <v>81</v>
      </c>
      <c r="D23" s="12">
        <v>48</v>
      </c>
      <c r="E23" s="8">
        <f t="shared" ref="E23:E29" si="10">(D23*$E$21)/$D$21</f>
        <v>4.8</v>
      </c>
      <c r="F23" s="3">
        <f t="shared" ref="F23:F29" si="11">IF($D$31=0,50,(50+(10*(STANDARDIZE(D23,$D$30,$D$31)))))*$F$21</f>
        <v>25</v>
      </c>
      <c r="G23" s="12">
        <v>38</v>
      </c>
      <c r="H23" s="8">
        <f t="shared" ref="H23:H29" si="12">(G23*$H$21)/$G$21</f>
        <v>4.75</v>
      </c>
      <c r="I23" s="3">
        <f t="shared" ref="I23:I29" si="13">IF($G$31=0,50,(50+(10*(STANDARDIZE(G23,$G$30,$G$31)))))*$I$21</f>
        <v>25</v>
      </c>
      <c r="J23" s="12">
        <v>48</v>
      </c>
      <c r="K23" s="8">
        <f t="shared" ref="K23:K29" si="14">(J23*$K$21)/$J$21</f>
        <v>4.8</v>
      </c>
      <c r="L23" s="3">
        <f t="shared" ref="L23:L29" si="15">IF($J$31=0,50,(50+(10*(STANDARDIZE(J23,$J$30,$J$31)))))*$L$21</f>
        <v>25</v>
      </c>
      <c r="M23" s="12">
        <v>38</v>
      </c>
      <c r="N23" s="8">
        <f t="shared" ref="N23:N29" si="16">(M23*$N$21)/$M$21</f>
        <v>4.75</v>
      </c>
      <c r="O23" s="3">
        <f t="shared" ref="O23:O29" si="17">IF($M$31=0,50,(50+(10*(STANDARDIZE(M23,$M$30,$M$31)))))*$O$21</f>
        <v>25</v>
      </c>
      <c r="P23" s="12">
        <v>63</v>
      </c>
      <c r="Q23" s="8">
        <f t="shared" ref="Q23:Q29" si="18">(P23*$Q$21)/$P$21</f>
        <v>9</v>
      </c>
      <c r="R23" s="3">
        <f t="shared" ref="R23:R29" si="19">IF($P$31=0,50,(50+(10*(STANDARDIZE(P23,$P$30,$P$31)))))*$R$21</f>
        <v>40.078432583507784</v>
      </c>
    </row>
    <row r="24" spans="1:19" ht="22" x14ac:dyDescent="0.35">
      <c r="A24" s="6">
        <v>23</v>
      </c>
      <c r="B24" s="38">
        <v>5546000022</v>
      </c>
      <c r="C24" s="39" t="s">
        <v>82</v>
      </c>
      <c r="D24" s="12">
        <v>48</v>
      </c>
      <c r="E24" s="8">
        <f t="shared" si="10"/>
        <v>4.8</v>
      </c>
      <c r="F24" s="3">
        <f t="shared" si="11"/>
        <v>25</v>
      </c>
      <c r="G24" s="12">
        <v>38</v>
      </c>
      <c r="H24" s="8">
        <f t="shared" si="12"/>
        <v>4.75</v>
      </c>
      <c r="I24" s="3">
        <f t="shared" si="13"/>
        <v>25</v>
      </c>
      <c r="J24" s="12">
        <v>48</v>
      </c>
      <c r="K24" s="8">
        <f t="shared" si="14"/>
        <v>4.8</v>
      </c>
      <c r="L24" s="3">
        <f t="shared" si="15"/>
        <v>25</v>
      </c>
      <c r="M24" s="12">
        <v>38</v>
      </c>
      <c r="N24" s="8">
        <f t="shared" si="16"/>
        <v>4.75</v>
      </c>
      <c r="O24" s="3">
        <f t="shared" si="17"/>
        <v>25</v>
      </c>
      <c r="P24" s="12">
        <v>67</v>
      </c>
      <c r="Q24" s="8">
        <f t="shared" si="18"/>
        <v>9.5714285714285712</v>
      </c>
      <c r="R24" s="3">
        <f t="shared" si="19"/>
        <v>66.535945694153696</v>
      </c>
    </row>
    <row r="25" spans="1:19" ht="22" x14ac:dyDescent="0.35">
      <c r="A25" s="6">
        <v>33</v>
      </c>
      <c r="B25" s="38">
        <v>5546000032</v>
      </c>
      <c r="C25" s="39" t="s">
        <v>83</v>
      </c>
      <c r="D25" s="12">
        <v>48</v>
      </c>
      <c r="E25" s="8">
        <f t="shared" si="10"/>
        <v>4.8</v>
      </c>
      <c r="F25" s="3">
        <f t="shared" si="11"/>
        <v>25</v>
      </c>
      <c r="G25" s="12">
        <v>38</v>
      </c>
      <c r="H25" s="8">
        <f t="shared" si="12"/>
        <v>4.75</v>
      </c>
      <c r="I25" s="3">
        <f t="shared" si="13"/>
        <v>25</v>
      </c>
      <c r="J25" s="12">
        <v>48</v>
      </c>
      <c r="K25" s="8">
        <f t="shared" si="14"/>
        <v>4.8</v>
      </c>
      <c r="L25" s="3">
        <f t="shared" si="15"/>
        <v>25</v>
      </c>
      <c r="M25" s="12">
        <v>38</v>
      </c>
      <c r="N25" s="8">
        <f t="shared" si="16"/>
        <v>4.75</v>
      </c>
      <c r="O25" s="3">
        <f t="shared" si="17"/>
        <v>25</v>
      </c>
      <c r="P25" s="12">
        <v>63</v>
      </c>
      <c r="Q25" s="8">
        <f t="shared" si="18"/>
        <v>9</v>
      </c>
      <c r="R25" s="3">
        <f t="shared" si="19"/>
        <v>40.078432583507784</v>
      </c>
    </row>
    <row r="26" spans="1:19" ht="22" x14ac:dyDescent="0.35">
      <c r="A26" s="6">
        <v>43</v>
      </c>
      <c r="B26" s="38">
        <v>5546000042</v>
      </c>
      <c r="C26" s="39" t="s">
        <v>84</v>
      </c>
      <c r="D26" s="12">
        <v>48</v>
      </c>
      <c r="E26" s="8">
        <f t="shared" si="10"/>
        <v>4.8</v>
      </c>
      <c r="F26" s="3">
        <f t="shared" si="11"/>
        <v>25</v>
      </c>
      <c r="G26" s="12">
        <v>38</v>
      </c>
      <c r="H26" s="8">
        <f t="shared" si="12"/>
        <v>4.75</v>
      </c>
      <c r="I26" s="3">
        <f t="shared" si="13"/>
        <v>25</v>
      </c>
      <c r="J26" s="12">
        <v>48</v>
      </c>
      <c r="K26" s="8">
        <f t="shared" si="14"/>
        <v>4.8</v>
      </c>
      <c r="L26" s="3">
        <f t="shared" si="15"/>
        <v>25</v>
      </c>
      <c r="M26" s="12">
        <v>38</v>
      </c>
      <c r="N26" s="8">
        <f t="shared" si="16"/>
        <v>4.75</v>
      </c>
      <c r="O26" s="3">
        <f t="shared" si="17"/>
        <v>25</v>
      </c>
      <c r="P26" s="12">
        <v>63</v>
      </c>
      <c r="Q26" s="8">
        <f t="shared" si="18"/>
        <v>9</v>
      </c>
      <c r="R26" s="3">
        <f t="shared" si="19"/>
        <v>40.078432583507784</v>
      </c>
    </row>
    <row r="27" spans="1:19" ht="22" x14ac:dyDescent="0.35">
      <c r="A27" s="6">
        <v>53</v>
      </c>
      <c r="B27" s="38">
        <v>5546000052</v>
      </c>
      <c r="C27" s="39" t="s">
        <v>85</v>
      </c>
      <c r="D27" s="12">
        <v>48</v>
      </c>
      <c r="E27" s="8">
        <f t="shared" si="10"/>
        <v>4.8</v>
      </c>
      <c r="F27" s="3">
        <f t="shared" si="11"/>
        <v>25</v>
      </c>
      <c r="G27" s="12">
        <v>38</v>
      </c>
      <c r="H27" s="8">
        <f t="shared" si="12"/>
        <v>4.75</v>
      </c>
      <c r="I27" s="3">
        <f t="shared" si="13"/>
        <v>25</v>
      </c>
      <c r="J27" s="12">
        <v>48</v>
      </c>
      <c r="K27" s="8">
        <f t="shared" si="14"/>
        <v>4.8</v>
      </c>
      <c r="L27" s="3">
        <f t="shared" si="15"/>
        <v>25</v>
      </c>
      <c r="M27" s="12">
        <v>38</v>
      </c>
      <c r="N27" s="8">
        <f t="shared" si="16"/>
        <v>4.75</v>
      </c>
      <c r="O27" s="3">
        <f t="shared" si="17"/>
        <v>25</v>
      </c>
      <c r="P27" s="12">
        <v>64</v>
      </c>
      <c r="Q27" s="8">
        <f t="shared" si="18"/>
        <v>9.1428571428571423</v>
      </c>
      <c r="R27" s="3">
        <f t="shared" si="19"/>
        <v>46.692810861169264</v>
      </c>
    </row>
    <row r="28" spans="1:19" ht="22" x14ac:dyDescent="0.35">
      <c r="A28" s="6">
        <v>63</v>
      </c>
      <c r="B28" s="38">
        <v>5546000062</v>
      </c>
      <c r="C28" s="39" t="s">
        <v>86</v>
      </c>
      <c r="D28" s="12">
        <v>48</v>
      </c>
      <c r="E28" s="8">
        <f t="shared" si="10"/>
        <v>4.8</v>
      </c>
      <c r="F28" s="3">
        <f t="shared" si="11"/>
        <v>25</v>
      </c>
      <c r="G28" s="12">
        <v>38</v>
      </c>
      <c r="H28" s="8">
        <f t="shared" si="12"/>
        <v>4.75</v>
      </c>
      <c r="I28" s="3">
        <f t="shared" si="13"/>
        <v>25</v>
      </c>
      <c r="J28" s="12">
        <v>48</v>
      </c>
      <c r="K28" s="8">
        <f t="shared" si="14"/>
        <v>4.8</v>
      </c>
      <c r="L28" s="3">
        <f t="shared" si="15"/>
        <v>25</v>
      </c>
      <c r="M28" s="12">
        <v>38</v>
      </c>
      <c r="N28" s="8">
        <f t="shared" si="16"/>
        <v>4.75</v>
      </c>
      <c r="O28" s="3">
        <f t="shared" si="17"/>
        <v>25</v>
      </c>
      <c r="P28" s="12">
        <v>65</v>
      </c>
      <c r="Q28" s="8">
        <f t="shared" si="18"/>
        <v>9.2857142857142865</v>
      </c>
      <c r="R28" s="3">
        <f t="shared" si="19"/>
        <v>53.307189138830736</v>
      </c>
    </row>
    <row r="29" spans="1:19" ht="22" x14ac:dyDescent="0.35">
      <c r="A29" s="6">
        <v>73</v>
      </c>
      <c r="B29" s="38">
        <v>5546000072</v>
      </c>
      <c r="C29" s="39" t="s">
        <v>87</v>
      </c>
      <c r="D29" s="12">
        <v>48</v>
      </c>
      <c r="E29" s="8">
        <f t="shared" si="10"/>
        <v>4.8</v>
      </c>
      <c r="F29" s="3">
        <f t="shared" si="11"/>
        <v>25</v>
      </c>
      <c r="G29" s="12">
        <v>38</v>
      </c>
      <c r="H29" s="8">
        <f t="shared" si="12"/>
        <v>4.75</v>
      </c>
      <c r="I29" s="3">
        <f t="shared" si="13"/>
        <v>25</v>
      </c>
      <c r="J29" s="12">
        <v>48</v>
      </c>
      <c r="K29" s="8">
        <f t="shared" si="14"/>
        <v>4.8</v>
      </c>
      <c r="L29" s="3">
        <f t="shared" si="15"/>
        <v>25</v>
      </c>
      <c r="M29" s="12">
        <v>38</v>
      </c>
      <c r="N29" s="8">
        <f t="shared" si="16"/>
        <v>4.75</v>
      </c>
      <c r="O29" s="3">
        <f t="shared" si="17"/>
        <v>25</v>
      </c>
      <c r="P29" s="12">
        <v>66</v>
      </c>
      <c r="Q29" s="8">
        <f t="shared" si="18"/>
        <v>9.4285714285714288</v>
      </c>
      <c r="R29" s="3">
        <f t="shared" si="19"/>
        <v>59.921567416492216</v>
      </c>
    </row>
    <row r="30" spans="1:19" x14ac:dyDescent="0.35">
      <c r="C30" s="42" t="s">
        <v>13</v>
      </c>
      <c r="D30" s="9">
        <f>AVERAGE($D$22:$D$29)</f>
        <v>48</v>
      </c>
      <c r="G30" s="9">
        <f>AVERAGE($G$22:$G$29)</f>
        <v>38</v>
      </c>
      <c r="J30" s="9">
        <f>AVERAGE($J$22:$J$29)</f>
        <v>48</v>
      </c>
      <c r="M30" s="9">
        <f>AVERAGE($M$22:$M$29)</f>
        <v>38</v>
      </c>
      <c r="P30" s="9">
        <f>AVERAGE($P$22:$P$29)</f>
        <v>64.5</v>
      </c>
    </row>
    <row r="31" spans="1:19" x14ac:dyDescent="0.35">
      <c r="C31" s="42" t="s">
        <v>14</v>
      </c>
      <c r="D31" s="9">
        <f>STDEV($D$22:$D$29)</f>
        <v>0</v>
      </c>
      <c r="F31" s="5"/>
      <c r="G31" s="9">
        <f>STDEV($G$22:$G$29)</f>
        <v>0</v>
      </c>
      <c r="J31" s="9">
        <f>STDEV($J$22:$J$29)</f>
        <v>0</v>
      </c>
      <c r="L31" s="5"/>
      <c r="M31" s="9">
        <f>STDEV($M$22:$M$29)</f>
        <v>0</v>
      </c>
      <c r="P31" s="9">
        <f>STDEV($P$22:$P$29)</f>
        <v>1.5118578920369088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77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3</v>
      </c>
      <c r="B37" s="38">
        <v>5546000002</v>
      </c>
      <c r="C37" s="39" t="s">
        <v>80</v>
      </c>
      <c r="D37" s="12">
        <v>22</v>
      </c>
      <c r="E37" s="8">
        <f>(D37*$E$36)/$D$36</f>
        <v>3.6666666666666665</v>
      </c>
      <c r="F37" s="3">
        <f>IF($D$46=0,50,(50+(10*(STANDARDIZE(D37,$D$45,$D$46)))))*$F$36</f>
        <v>21.206393883331977</v>
      </c>
      <c r="G37" s="12">
        <v>46</v>
      </c>
      <c r="H37" s="8">
        <f>(G37*$H$36)/$G$36</f>
        <v>4.5999999999999996</v>
      </c>
      <c r="I37" s="3">
        <f>IF($G$46=0,50,(50+(10*(STANDARDIZE(G37,$G$45,$G$46)))))*$I$36</f>
        <v>20.852389856445928</v>
      </c>
      <c r="J37" s="12">
        <v>33</v>
      </c>
      <c r="K37" s="8">
        <f>(J37*$K$36)/$J$36</f>
        <v>2.75</v>
      </c>
      <c r="L37" s="3">
        <f>IF($J$46=0,50,(50+(10*(STANDARDIZE(J37,$J$45,$J$46)))))*$L$36</f>
        <v>22.047978507139735</v>
      </c>
      <c r="M37" s="9"/>
      <c r="N37" s="19"/>
      <c r="O37" s="9"/>
      <c r="P37" s="2"/>
      <c r="Q37" s="19"/>
      <c r="R37" s="9"/>
    </row>
    <row r="38" spans="1:22" ht="22" x14ac:dyDescent="0.35">
      <c r="A38" s="6">
        <v>13</v>
      </c>
      <c r="B38" s="38">
        <v>5546000012</v>
      </c>
      <c r="C38" s="39" t="s">
        <v>81</v>
      </c>
      <c r="D38" s="12">
        <v>22</v>
      </c>
      <c r="E38" s="8">
        <f t="shared" ref="E38:E44" si="20">(D38*$E$36)/$D$36</f>
        <v>3.6666666666666665</v>
      </c>
      <c r="F38" s="3">
        <f t="shared" ref="F38:F44" si="21">IF($D$46=0,50,(50+(10*(STANDARDIZE(D38,$D$45,$D$46)))))*$F$36</f>
        <v>21.206393883331977</v>
      </c>
      <c r="G38" s="12">
        <v>46</v>
      </c>
      <c r="H38" s="8">
        <f t="shared" ref="H38:H44" si="22">(G38*$H$36)/$G$36</f>
        <v>4.5999999999999996</v>
      </c>
      <c r="I38" s="3">
        <f t="shared" ref="I38:I44" si="23">IF($G$46=0,50,(50+(10*(STANDARDIZE(G38,$G$45,$G$46)))))*$I$36</f>
        <v>20.852389856445928</v>
      </c>
      <c r="J38" s="12">
        <v>22</v>
      </c>
      <c r="K38" s="8">
        <f t="shared" ref="K38:K44" si="24">(J38*$K$36)/$J$36</f>
        <v>1.8333333333333333</v>
      </c>
      <c r="L38" s="3">
        <f t="shared" ref="L38:L44" si="25">IF($J$46=0,50,(50+(10*(STANDARDIZE(J38,$J$45,$J$46)))))*$L$36</f>
        <v>15.862790617337277</v>
      </c>
      <c r="M38" s="9"/>
      <c r="N38" s="19"/>
      <c r="O38" s="9"/>
      <c r="P38" s="2"/>
      <c r="Q38" s="19"/>
      <c r="R38" s="9"/>
    </row>
    <row r="39" spans="1:22" ht="22" x14ac:dyDescent="0.35">
      <c r="A39" s="6">
        <v>23</v>
      </c>
      <c r="B39" s="38">
        <v>5546000022</v>
      </c>
      <c r="C39" s="39" t="s">
        <v>82</v>
      </c>
      <c r="D39" s="12">
        <v>24</v>
      </c>
      <c r="E39" s="8">
        <f t="shared" si="20"/>
        <v>4</v>
      </c>
      <c r="F39" s="3">
        <f t="shared" si="21"/>
        <v>24.241278776666395</v>
      </c>
      <c r="G39" s="12">
        <v>49</v>
      </c>
      <c r="H39" s="8">
        <f t="shared" si="22"/>
        <v>4.9000000000000004</v>
      </c>
      <c r="I39" s="3">
        <f t="shared" si="23"/>
        <v>31.912683572590119</v>
      </c>
      <c r="J39" s="12">
        <v>46</v>
      </c>
      <c r="K39" s="8">
        <f t="shared" si="24"/>
        <v>3.8333333333333335</v>
      </c>
      <c r="L39" s="3">
        <f t="shared" si="25"/>
        <v>29.357746013269914</v>
      </c>
      <c r="M39" s="9"/>
      <c r="N39" s="19"/>
      <c r="O39" s="9"/>
      <c r="P39" s="2"/>
      <c r="Q39" s="19"/>
      <c r="R39" s="9"/>
    </row>
    <row r="40" spans="1:22" ht="22" x14ac:dyDescent="0.35">
      <c r="A40" s="6">
        <v>33</v>
      </c>
      <c r="B40" s="38">
        <v>5546000032</v>
      </c>
      <c r="C40" s="39" t="s">
        <v>83</v>
      </c>
      <c r="D40" s="12">
        <v>22</v>
      </c>
      <c r="E40" s="8">
        <f t="shared" si="20"/>
        <v>3.6666666666666665</v>
      </c>
      <c r="F40" s="3">
        <f t="shared" si="21"/>
        <v>21.206393883331977</v>
      </c>
      <c r="G40" s="12">
        <v>46</v>
      </c>
      <c r="H40" s="8">
        <f t="shared" si="22"/>
        <v>4.5999999999999996</v>
      </c>
      <c r="I40" s="3">
        <f t="shared" si="23"/>
        <v>20.852389856445928</v>
      </c>
      <c r="J40" s="12">
        <v>42</v>
      </c>
      <c r="K40" s="8">
        <f t="shared" si="24"/>
        <v>3.5</v>
      </c>
      <c r="L40" s="3">
        <f t="shared" si="25"/>
        <v>27.108586780614473</v>
      </c>
      <c r="M40" s="9"/>
      <c r="N40" s="19"/>
      <c r="O40" s="9"/>
      <c r="P40" s="2"/>
      <c r="Q40" s="19"/>
      <c r="R40" s="9"/>
    </row>
    <row r="41" spans="1:22" ht="22" x14ac:dyDescent="0.35">
      <c r="A41" s="6">
        <v>43</v>
      </c>
      <c r="B41" s="38">
        <v>5546000042</v>
      </c>
      <c r="C41" s="39" t="s">
        <v>84</v>
      </c>
      <c r="D41" s="12">
        <v>22</v>
      </c>
      <c r="E41" s="8">
        <f t="shared" si="20"/>
        <v>3.6666666666666665</v>
      </c>
      <c r="F41" s="3">
        <f t="shared" si="21"/>
        <v>21.206393883331977</v>
      </c>
      <c r="G41" s="12">
        <v>47</v>
      </c>
      <c r="H41" s="8">
        <f t="shared" si="22"/>
        <v>4.7</v>
      </c>
      <c r="I41" s="3">
        <f t="shared" si="23"/>
        <v>24.53915442849399</v>
      </c>
      <c r="J41" s="12">
        <v>30</v>
      </c>
      <c r="K41" s="8">
        <f t="shared" si="24"/>
        <v>2.5</v>
      </c>
      <c r="L41" s="3">
        <f t="shared" si="25"/>
        <v>20.361109082648156</v>
      </c>
      <c r="M41" s="9"/>
      <c r="N41" s="19"/>
      <c r="O41" s="9"/>
      <c r="P41" s="2"/>
      <c r="Q41" s="19"/>
      <c r="R41" s="9"/>
    </row>
    <row r="42" spans="1:22" ht="22" x14ac:dyDescent="0.35">
      <c r="A42" s="6">
        <v>53</v>
      </c>
      <c r="B42" s="38">
        <v>5546000052</v>
      </c>
      <c r="C42" s="39" t="s">
        <v>85</v>
      </c>
      <c r="D42" s="12">
        <v>25</v>
      </c>
      <c r="E42" s="8">
        <f t="shared" si="20"/>
        <v>4.166666666666667</v>
      </c>
      <c r="F42" s="3">
        <f t="shared" si="21"/>
        <v>25.758721223333605</v>
      </c>
      <c r="G42" s="12">
        <v>46</v>
      </c>
      <c r="H42" s="8">
        <f t="shared" si="22"/>
        <v>4.5999999999999996</v>
      </c>
      <c r="I42" s="3">
        <f t="shared" si="23"/>
        <v>20.852389856445928</v>
      </c>
      <c r="J42" s="12">
        <v>46</v>
      </c>
      <c r="K42" s="8">
        <f t="shared" si="24"/>
        <v>3.8333333333333335</v>
      </c>
      <c r="L42" s="3">
        <f t="shared" si="25"/>
        <v>29.357746013269914</v>
      </c>
      <c r="M42" s="9"/>
      <c r="N42" s="19"/>
      <c r="O42" s="9"/>
      <c r="P42" s="2"/>
      <c r="Q42" s="19"/>
      <c r="R42" s="9"/>
    </row>
    <row r="43" spans="1:22" ht="22" x14ac:dyDescent="0.35">
      <c r="A43" s="6">
        <v>63</v>
      </c>
      <c r="B43" s="38">
        <v>5546000062</v>
      </c>
      <c r="C43" s="39" t="s">
        <v>86</v>
      </c>
      <c r="D43" s="12">
        <v>29</v>
      </c>
      <c r="E43" s="8">
        <f t="shared" si="20"/>
        <v>4.833333333333333</v>
      </c>
      <c r="F43" s="3">
        <f t="shared" si="21"/>
        <v>31.828491010002445</v>
      </c>
      <c r="G43" s="12">
        <v>48</v>
      </c>
      <c r="H43" s="8">
        <f t="shared" si="22"/>
        <v>4.8</v>
      </c>
      <c r="I43" s="3">
        <f t="shared" si="23"/>
        <v>28.225919000542056</v>
      </c>
      <c r="J43" s="12">
        <v>42</v>
      </c>
      <c r="K43" s="8">
        <f t="shared" si="24"/>
        <v>3.5</v>
      </c>
      <c r="L43" s="3">
        <f t="shared" si="25"/>
        <v>27.108586780614473</v>
      </c>
      <c r="M43" s="9"/>
      <c r="N43" s="19"/>
      <c r="O43" s="9"/>
      <c r="P43" s="2"/>
      <c r="Q43" s="19"/>
      <c r="R43" s="9"/>
    </row>
    <row r="44" spans="1:22" ht="22" x14ac:dyDescent="0.35">
      <c r="A44" s="6">
        <v>73</v>
      </c>
      <c r="B44" s="38">
        <v>5546000072</v>
      </c>
      <c r="C44" s="39" t="s">
        <v>87</v>
      </c>
      <c r="D44" s="12">
        <v>30</v>
      </c>
      <c r="E44" s="8">
        <f t="shared" si="20"/>
        <v>5</v>
      </c>
      <c r="F44" s="3">
        <f t="shared" si="21"/>
        <v>33.345933456669655</v>
      </c>
      <c r="G44" s="12">
        <v>49</v>
      </c>
      <c r="H44" s="8">
        <f t="shared" si="22"/>
        <v>4.9000000000000004</v>
      </c>
      <c r="I44" s="3">
        <f t="shared" si="23"/>
        <v>31.912683572590119</v>
      </c>
      <c r="J44" s="12">
        <v>45</v>
      </c>
      <c r="K44" s="8">
        <f t="shared" si="24"/>
        <v>3.75</v>
      </c>
      <c r="L44" s="3">
        <f t="shared" si="25"/>
        <v>28.795456205106053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24.5</v>
      </c>
      <c r="G45" s="9">
        <f>AVERAGE($G$37:$G$44)</f>
        <v>47.125</v>
      </c>
      <c r="J45" s="9">
        <f>AVERAGE($J$37:$J$44)</f>
        <v>38.25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3.295017884191656</v>
      </c>
      <c r="F46" s="5"/>
      <c r="G46" s="9">
        <f>STDEV($G$37:$G$44)</f>
        <v>1.3562026818605375</v>
      </c>
      <c r="J46" s="9">
        <f>STDEV($J$37:$J$44)</f>
        <v>8.8922116805341833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6">
        <v>3</v>
      </c>
      <c r="B97" s="38">
        <v>5546000002</v>
      </c>
      <c r="C97" s="39" t="s">
        <v>80</v>
      </c>
      <c r="D97" s="8">
        <f>ROUND(SUM(E8,H8,K8,N8,Q8,E22,H22,K22,N22,Q22,E37,H37,K37,N37,Q37,E52,H52,K52,N52,Q52,E67,H67,K67,N67,Q67,E82,H82,K82,N82,Q82),2)</f>
        <v>87.47</v>
      </c>
      <c r="E97" s="8">
        <f>ROUND(SUM(F8,I8,L8,O8,R8,F22,I22,L22,O22,R22,F37,I37,L37,O37,R37,F52,I52,L52,O52,R52,F67,I67,L67,O67,R67,F82,I82,L82,O82,R82),2)</f>
        <v>438.86</v>
      </c>
      <c r="F97" s="7" t="str">
        <f>IF($I$100="-","-",IF(E97&gt;=$I$97,$K$97,IF(E97&gt;=$I$98,$K$98,IF(E97&gt;=$I$99,$K$99,IF(E97&gt;=$I$100,$K$100,IF(E97&gt;=$I$101,$K$101,IF(E97&gt;=$I$102,$K$102,IF(E97&gt;=$I$103,$K$103,IF(E97&gt;=$I$104,$K$104)))))))))</f>
        <v>C+</v>
      </c>
      <c r="G97" s="7" t="str">
        <f>IF($O$100="-","-",IF(E97&gt;=$N$97,$Q$97,IF(E97&gt;=$N$98,$Q$98,IF(E97&gt;=$N$99,$Q$99,IF(E97&gt;=$N$100,$Q$100,IF(E97&gt;=$N$101,$Q$101,IF(E97&gt;=$N$102,$Q$102,IF(E97&lt;=$P$103,$Q$103))))))))</f>
        <v>-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>
        <f>IF(F97="-","-",COUNTIF($F$97:$F$104,K97))</f>
        <v>0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 t="str">
        <f>IF(G97="-","-",COUNTIF($G$97:$G$104,Q97))</f>
        <v>-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6">
        <v>13</v>
      </c>
      <c r="B98" s="38">
        <v>5546000012</v>
      </c>
      <c r="C98" s="39" t="s">
        <v>81</v>
      </c>
      <c r="D98" s="8">
        <f t="shared" ref="D98:E104" si="27">ROUND(SUM(E9,H9,K9,N9,Q9,E23,H23,K23,N23,Q23,E38,H38,K38,N38,Q38,E53,H53,K53,N53,Q53,E68,H68,K68,N68,Q68,E83,H83,K83,N83,Q83),2)</f>
        <v>86.9</v>
      </c>
      <c r="E98" s="8">
        <f t="shared" si="27"/>
        <v>433.06</v>
      </c>
      <c r="F98" s="7" t="str">
        <f t="shared" ref="F98:F104" si="28">IF($I$100="-","-",IF(E98&gt;=$I$97,$K$97,IF(E98&gt;=$I$98,$K$98,IF(E98&gt;=$I$99,$K$99,IF(E98&gt;=$I$100,$K$100,IF(E98&gt;=$I$101,$K$101,IF(E98&gt;=$I$102,$K$102,IF(E98&gt;=$I$103,$K$103,IF(E98&gt;=$I$104,$K$104)))))))))</f>
        <v>C+</v>
      </c>
      <c r="G98" s="7" t="str">
        <f t="shared" ref="G98:G104" si="29">IF($O$100="-","-",IF(E98&gt;=$N$97,$Q$97,IF(E98&gt;=$N$98,$Q$98,IF(E98&gt;=$N$99,$Q$99,IF(E98&gt;=$N$100,$Q$100,IF(E98&gt;=$N$101,$Q$101,IF(E98&gt;=$N$102,$Q$102,IF(E98&lt;=$P$103,$Q$103))))))))</f>
        <v>-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>
        <f t="shared" ref="L98:L104" si="30">IF(F98="-","-",COUNTIF($F$97:$F$104,K98))</f>
        <v>0</v>
      </c>
      <c r="M98" s="20" t="e">
        <f t="shared" ref="M98:M104" si="31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 t="str">
        <f t="shared" ref="R98:R103" si="32">IF(G98="-","-",COUNTIF($G$97:$G$104,Q98))</f>
        <v>-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23</v>
      </c>
      <c r="B99" s="38">
        <v>5546000022</v>
      </c>
      <c r="C99" s="39" t="s">
        <v>82</v>
      </c>
      <c r="D99" s="8">
        <f t="shared" si="27"/>
        <v>93.7</v>
      </c>
      <c r="E99" s="8">
        <f t="shared" si="27"/>
        <v>584.17999999999995</v>
      </c>
      <c r="F99" s="7" t="str">
        <f t="shared" si="28"/>
        <v>A</v>
      </c>
      <c r="G99" s="7" t="str">
        <f t="shared" si="29"/>
        <v>-</v>
      </c>
      <c r="I99" s="6">
        <f>IF(OR($E$110=8,$E$110=6,$E$110=4),$J$100+0.01,"-")</f>
        <v>542.27</v>
      </c>
      <c r="J99" s="6">
        <f>IF(OR($E$110=8,$E$110=6,$E$110=4),$I$99+$E$111,"-")</f>
        <v>584.53</v>
      </c>
      <c r="K99" s="7" t="str">
        <f>IF($E$110=8,$T$95,IF($E$110=6,$T$94,IF($E$110=4,$T$93,"-")))</f>
        <v>A</v>
      </c>
      <c r="L99" s="7">
        <f t="shared" si="30"/>
        <v>3</v>
      </c>
      <c r="M99" s="20">
        <f t="shared" si="31"/>
        <v>42.259999999999991</v>
      </c>
      <c r="N99" s="8" t="str">
        <f>IF(OR($E$110=3,$E$110=5,$E$110=7),$P$100+0.01,"-")</f>
        <v>-</v>
      </c>
      <c r="O99" s="13"/>
      <c r="P99" s="8" t="str">
        <f>IF(OR($E$110=3,$E$110=5,$E$110=7),$N$99+$E$111,"-")</f>
        <v>-</v>
      </c>
      <c r="Q99" s="7" t="str">
        <f>IF($E$110=7,$T$95,IF($E$110=5,$T$94,IF($E$110=3,$T$93,"-")))</f>
        <v>-</v>
      </c>
      <c r="R99" s="7" t="str">
        <f t="shared" si="32"/>
        <v>-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33</v>
      </c>
      <c r="B100" s="38">
        <v>5546000032</v>
      </c>
      <c r="C100" s="39" t="s">
        <v>83</v>
      </c>
      <c r="D100" s="8">
        <f t="shared" si="27"/>
        <v>88.27</v>
      </c>
      <c r="E100" s="8">
        <f t="shared" si="27"/>
        <v>438.37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C+</v>
      </c>
      <c r="G100" s="7" t="str">
        <f t="shared" si="29"/>
        <v>-</v>
      </c>
      <c r="I100" s="31">
        <f>IF(OR($E$110=2,$E$110=4,$E$110=6,$E$110=8),$E$106,"-")</f>
        <v>500</v>
      </c>
      <c r="J100" s="8">
        <f>IF(OR($E$110=2,$E$110=4,$E$110=6,$E$110=8),$E$106+$E$111,"-")</f>
        <v>542.26</v>
      </c>
      <c r="K100" s="7" t="str">
        <f>IF($E$110=8,$T$96,IF($E$110=6,$T$95,IF($E$110=4,$T$94,IF($E$110=2,$T$93,"-"))))</f>
        <v>B+</v>
      </c>
      <c r="L100" s="7">
        <f t="shared" si="30"/>
        <v>0</v>
      </c>
      <c r="M100" s="20">
        <f t="shared" si="31"/>
        <v>42.259999999999991</v>
      </c>
      <c r="N100" s="8" t="str">
        <f>IF(OR($E$110=1,$E$110=3,$E$110=5,$E$110=7),$E$106-($E$111/2),"-")</f>
        <v>-</v>
      </c>
      <c r="O100" s="31" t="str">
        <f>IF(OR($E$110=1,$E$110=3,$E$110=5,$E$110=7),$E$106,"-")</f>
        <v>-</v>
      </c>
      <c r="P100" s="8" t="str">
        <f>IF(OR($E$110=1,$E$110=3,$E$110=5,$E$110=7),$E$106+($E$111/2),"-")</f>
        <v>-</v>
      </c>
      <c r="Q100" s="7" t="str">
        <f>IF($E$110=7,$T$96,IF($E$110=5,$T$95,IF($E$110=3,$T$94,IF($E$110=1,$T$93,"-"))))</f>
        <v>-</v>
      </c>
      <c r="R100" s="7" t="str">
        <f t="shared" si="32"/>
        <v>-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43</v>
      </c>
      <c r="B101" s="38">
        <v>5546000042</v>
      </c>
      <c r="C101" s="39" t="s">
        <v>84</v>
      </c>
      <c r="D101" s="8">
        <f t="shared" si="27"/>
        <v>88.17</v>
      </c>
      <c r="E101" s="8">
        <f t="shared" si="27"/>
        <v>462.11</v>
      </c>
      <c r="F101" s="7" t="str">
        <f t="shared" si="28"/>
        <v>B</v>
      </c>
      <c r="G101" s="7" t="str">
        <f t="shared" si="29"/>
        <v>-</v>
      </c>
      <c r="I101" s="6">
        <f>IF(OR($E$110=2,$E$110=4,$E$110=6,$E$110=8),$J$101-$E$111,"-")</f>
        <v>457.73</v>
      </c>
      <c r="J101" s="8">
        <f>IF(OR($E$110=2,$E$110=4,$E$110=6,$E$110=8),$I$100-0.01,"-")</f>
        <v>499.99</v>
      </c>
      <c r="K101" s="7" t="str">
        <f>IF($E$110=8,$T$97,IF($E$110=6,$T$96,IF($E$110=4,$T$95,IF($E$110=2,$T$94,"-"))))</f>
        <v>B</v>
      </c>
      <c r="L101" s="7">
        <f t="shared" si="30"/>
        <v>2</v>
      </c>
      <c r="M101" s="20">
        <f t="shared" si="31"/>
        <v>42.259999999999991</v>
      </c>
      <c r="N101" s="8" t="str">
        <f>IF(OR($E$110=3,$E$110=5,$E$110=7),$P$101-$E$111,"-")</f>
        <v>-</v>
      </c>
      <c r="O101" s="13"/>
      <c r="P101" s="8" t="str">
        <f>IF(OR($E$110=3,$E$110=5,$E$110=7),$N$100-0.01,"-")</f>
        <v>-</v>
      </c>
      <c r="Q101" s="7" t="str">
        <f>IF($E$110=7,$T$97,IF($E$110=5,$T$96,IF($E$110=3,$T$95,"-")))</f>
        <v>-</v>
      </c>
      <c r="R101" s="7" t="str">
        <f t="shared" si="32"/>
        <v>-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53</v>
      </c>
      <c r="B102" s="38">
        <v>5546000052</v>
      </c>
      <c r="C102" s="39" t="s">
        <v>85</v>
      </c>
      <c r="D102" s="8">
        <f t="shared" si="27"/>
        <v>89.94</v>
      </c>
      <c r="E102" s="8">
        <f t="shared" si="27"/>
        <v>470.41</v>
      </c>
      <c r="F102" s="7" t="str">
        <f t="shared" si="28"/>
        <v>B</v>
      </c>
      <c r="G102" s="7" t="str">
        <f t="shared" si="29"/>
        <v>-</v>
      </c>
      <c r="I102" s="47">
        <f>IF(OR($E$110=4,$E$110=6,$E$110=8),$J$102-$E$111,"-")</f>
        <v>415.46000000000004</v>
      </c>
      <c r="J102" s="6">
        <f>IF(OR($E$110=8,$E$110=6,$E$110=4),$I$101-0.01,"-")</f>
        <v>457.72</v>
      </c>
      <c r="K102" s="7" t="str">
        <f>IF($E$110=8,$T$98,IF($E$110=6,$T$97,IF($E$110=4,$T$96,"-")))</f>
        <v>C+</v>
      </c>
      <c r="L102" s="7">
        <f t="shared" si="30"/>
        <v>3</v>
      </c>
      <c r="M102" s="20">
        <f t="shared" si="31"/>
        <v>42.259999999999991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 t="str">
        <f t="shared" si="32"/>
        <v>-</v>
      </c>
    </row>
    <row r="103" spans="1:20" ht="23" thickBot="1" x14ac:dyDescent="0.4">
      <c r="A103" s="6">
        <v>63</v>
      </c>
      <c r="B103" s="38">
        <v>5546000062</v>
      </c>
      <c r="C103" s="39" t="s">
        <v>86</v>
      </c>
      <c r="D103" s="8">
        <f t="shared" si="27"/>
        <v>93.72</v>
      </c>
      <c r="E103" s="8">
        <f t="shared" si="27"/>
        <v>570.9</v>
      </c>
      <c r="F103" s="7" t="str">
        <f t="shared" si="28"/>
        <v>A</v>
      </c>
      <c r="G103" s="7" t="str">
        <f t="shared" si="29"/>
        <v>-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>
        <f t="shared" si="30"/>
        <v>0</v>
      </c>
      <c r="M103" s="20" t="e">
        <f t="shared" si="31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 t="str">
        <f t="shared" si="32"/>
        <v>-</v>
      </c>
    </row>
    <row r="104" spans="1:20" ht="23" thickBot="1" x14ac:dyDescent="0.4">
      <c r="A104" s="6">
        <v>73</v>
      </c>
      <c r="B104" s="38">
        <v>5546000072</v>
      </c>
      <c r="C104" s="39" t="s">
        <v>87</v>
      </c>
      <c r="D104" s="8">
        <f t="shared" si="27"/>
        <v>95.08</v>
      </c>
      <c r="E104" s="8">
        <f t="shared" si="27"/>
        <v>602.1</v>
      </c>
      <c r="F104" s="7" t="str">
        <f t="shared" si="28"/>
        <v>A</v>
      </c>
      <c r="G104" s="7" t="str">
        <f t="shared" si="29"/>
        <v>-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>
        <f t="shared" si="30"/>
        <v>0</v>
      </c>
      <c r="M104" s="20" t="e">
        <f t="shared" si="31"/>
        <v>#VALUE!</v>
      </c>
      <c r="N104" s="218" t="s">
        <v>1</v>
      </c>
      <c r="O104" s="219"/>
      <c r="P104" s="219"/>
      <c r="Q104" s="220"/>
      <c r="R104" s="33">
        <f>SUM($R$97:$R$103)</f>
        <v>0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>
        <f>SUM($L$97:$L$104)</f>
        <v>8</v>
      </c>
    </row>
    <row r="106" spans="1:20" x14ac:dyDescent="0.35">
      <c r="C106" s="4" t="s">
        <v>13</v>
      </c>
      <c r="D106" s="37">
        <f>ROUND(AVERAGE($D$97:$D$104),2)</f>
        <v>90.41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95.08</v>
      </c>
      <c r="E107" s="37">
        <f>ROUND(MAX($E$97:$E$104),2)</f>
        <v>602.1</v>
      </c>
      <c r="I107" s="45"/>
      <c r="J107" s="45"/>
    </row>
    <row r="108" spans="1:20" x14ac:dyDescent="0.35">
      <c r="C108" s="4" t="s">
        <v>19</v>
      </c>
      <c r="D108" s="37">
        <f>ROUND(MIN($D$97:$D$104),2)</f>
        <v>86.9</v>
      </c>
      <c r="E108" s="37">
        <f>ROUND(MIN($E$97:$E$104),2)</f>
        <v>433.06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169.04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4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42.26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N104:Q104"/>
    <mergeCell ref="I105:K105"/>
    <mergeCell ref="N111:R111"/>
    <mergeCell ref="N112:R112"/>
    <mergeCell ref="N113:R113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G34:I34"/>
    <mergeCell ref="J34:L34"/>
    <mergeCell ref="M34:O34"/>
    <mergeCell ref="P34:R34"/>
    <mergeCell ref="M49:O49"/>
    <mergeCell ref="P49:R49"/>
    <mergeCell ref="D33:F33"/>
    <mergeCell ref="A34:A36"/>
    <mergeCell ref="B34:B36"/>
    <mergeCell ref="C34:C36"/>
    <mergeCell ref="D34:F34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</mergeCells>
  <pageMargins left="0.70866141732283472" right="0.70866141732283472" top="0.31496062992125984" bottom="0.19685039370078741" header="0.31496062992125984" footer="0.19685039370078741"/>
  <pageSetup paperSize="9" scale="79" orientation="landscape" verticalDpi="300" r:id="rId1"/>
  <rowBreaks count="3" manualBreakCount="3">
    <brk id="32" max="16383" man="1"/>
    <brk id="62" max="17" man="1"/>
    <brk id="9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13"/>
  <sheetViews>
    <sheetView view="pageBreakPreview" topLeftCell="A93" zoomScale="90" zoomScaleNormal="90" zoomScaleSheetLayoutView="90" workbookViewId="0">
      <selection activeCell="F106" sqref="F106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3</v>
      </c>
      <c r="B8" s="38">
        <v>5546000002</v>
      </c>
      <c r="C8" s="39" t="s">
        <v>80</v>
      </c>
      <c r="D8" s="12">
        <v>68</v>
      </c>
      <c r="E8" s="8">
        <f>(D8*$E$7)/$D$7</f>
        <v>18.133333333333333</v>
      </c>
      <c r="F8" s="3">
        <f>IF($D$17=0,50,(50+(10*(STANDARDIZE(D8,$D$16,$D$17)))))*$F$7</f>
        <v>81.056379451285693</v>
      </c>
      <c r="G8" s="12">
        <v>25</v>
      </c>
      <c r="H8" s="8">
        <f>(G8*$H$7)/$G$7</f>
        <v>8.3333333333333339</v>
      </c>
      <c r="I8" s="3">
        <f>IF($G$17=0,50,(50+(10*(STANDARDIZE(G8,$G$16,$G$17)))))*$I$7</f>
        <v>37.523706690813889</v>
      </c>
      <c r="J8" s="12">
        <v>45</v>
      </c>
      <c r="K8" s="8">
        <f>(J8*$K$7)/$J$7</f>
        <v>4.5</v>
      </c>
      <c r="L8" s="3">
        <f>IF($J$17=0,50,(50+(10*(STANDARDIZE(J8,$J$16,$J$17)))))*$L$7</f>
        <v>19.324093985017978</v>
      </c>
      <c r="M8" s="12">
        <v>81</v>
      </c>
      <c r="N8" s="8">
        <f>(M8*$N$7)/$M$7</f>
        <v>8.1</v>
      </c>
      <c r="O8" s="3">
        <f>IF($M$17=0,50,(50+(10*(STANDARDIZE(M8,$M$16,$M$17)))))*$O$7</f>
        <v>41.913062957791887</v>
      </c>
      <c r="P8" s="12">
        <v>45</v>
      </c>
      <c r="Q8" s="8">
        <f>(P8*$Q$7)/$P$7</f>
        <v>9</v>
      </c>
      <c r="R8" s="3">
        <f>IF($P$17=0,50,(50+(10*(STANDARDIZE(P8,$P$16,$P$17)))))*$R$7</f>
        <v>41.633399734659243</v>
      </c>
    </row>
    <row r="9" spans="1:22" ht="22" x14ac:dyDescent="0.35">
      <c r="A9" s="6">
        <v>13</v>
      </c>
      <c r="B9" s="38">
        <v>5546000012</v>
      </c>
      <c r="C9" s="39" t="s">
        <v>81</v>
      </c>
      <c r="D9" s="12">
        <v>68</v>
      </c>
      <c r="E9" s="8">
        <f t="shared" ref="E9:E15" si="0">(D9*$E$7)/$D$7</f>
        <v>18.133333333333333</v>
      </c>
      <c r="F9" s="3">
        <f t="shared" ref="F9:F15" si="1">IF($D$17=0,50,(50+(10*(STANDARDIZE(D9,$D$16,$D$17)))))*$F$7</f>
        <v>81.056379451285693</v>
      </c>
      <c r="G9" s="12">
        <v>26</v>
      </c>
      <c r="H9" s="8">
        <f t="shared" ref="H9:H15" si="2">(G9*$H$7)/$G$7</f>
        <v>8.6666666666666661</v>
      </c>
      <c r="I9" s="3">
        <f t="shared" ref="I9:I15" si="3">IF($G$17=0,50,(50+(10*(STANDARDIZE(G9,$G$16,$G$17)))))*$I$7</f>
        <v>45.201425650313034</v>
      </c>
      <c r="J9" s="12">
        <v>46</v>
      </c>
      <c r="K9" s="8">
        <f t="shared" ref="K9:K15" si="4">(J9*$K$7)/$J$7</f>
        <v>4.5999999999999996</v>
      </c>
      <c r="L9" s="3">
        <f t="shared" ref="L9:L15" si="5">IF($J$17=0,50,(50+(10*(STANDARDIZE(J9,$J$16,$J$17)))))*$L$7</f>
        <v>21.846718880565543</v>
      </c>
      <c r="M9" s="12">
        <v>83</v>
      </c>
      <c r="N9" s="8">
        <f t="shared" ref="N9:N15" si="6">(M9*$N$7)/$M$7</f>
        <v>8.3000000000000007</v>
      </c>
      <c r="O9" s="3">
        <f t="shared" ref="O9:O15" si="7">IF($M$17=0,50,(50+(10*(STANDARDIZE(M9,$M$16,$M$17)))))*$O$7</f>
        <v>45.31808908082688</v>
      </c>
      <c r="P9" s="12">
        <v>45</v>
      </c>
      <c r="Q9" s="8">
        <f t="shared" ref="Q9:Q15" si="8">(P9*$Q$7)/$P$7</f>
        <v>9</v>
      </c>
      <c r="R9" s="3">
        <f t="shared" ref="R9:R15" si="9">IF($P$17=0,50,(50+(10*(STANDARDIZE(P9,$P$16,$P$17)))))*$R$7</f>
        <v>41.633399734659243</v>
      </c>
      <c r="V9" s="1" t="s">
        <v>2</v>
      </c>
    </row>
    <row r="10" spans="1:22" ht="22" x14ac:dyDescent="0.35">
      <c r="A10" s="6">
        <v>23</v>
      </c>
      <c r="B10" s="38">
        <v>5546000022</v>
      </c>
      <c r="C10" s="39" t="s">
        <v>82</v>
      </c>
      <c r="D10" s="12">
        <v>73</v>
      </c>
      <c r="E10" s="8">
        <f t="shared" si="0"/>
        <v>19.466666666666665</v>
      </c>
      <c r="F10" s="3">
        <f t="shared" si="1"/>
        <v>123.15331400398415</v>
      </c>
      <c r="G10" s="12">
        <v>28</v>
      </c>
      <c r="H10" s="8">
        <f t="shared" si="2"/>
        <v>9.3333333333333339</v>
      </c>
      <c r="I10" s="3">
        <f t="shared" si="3"/>
        <v>60.556863569311325</v>
      </c>
      <c r="J10" s="12">
        <v>49</v>
      </c>
      <c r="K10" s="8">
        <f t="shared" si="4"/>
        <v>4.9000000000000004</v>
      </c>
      <c r="L10" s="3">
        <f t="shared" si="5"/>
        <v>29.414593567208239</v>
      </c>
      <c r="M10" s="12">
        <v>92</v>
      </c>
      <c r="N10" s="8">
        <f t="shared" si="6"/>
        <v>9.1999999999999993</v>
      </c>
      <c r="O10" s="3">
        <f t="shared" si="7"/>
        <v>60.64070663448436</v>
      </c>
      <c r="P10" s="12">
        <v>47</v>
      </c>
      <c r="Q10" s="8">
        <f t="shared" si="8"/>
        <v>9.4</v>
      </c>
      <c r="R10" s="3">
        <f t="shared" si="9"/>
        <v>58.366600265340757</v>
      </c>
    </row>
    <row r="11" spans="1:22" ht="22" x14ac:dyDescent="0.35">
      <c r="A11" s="6">
        <v>33</v>
      </c>
      <c r="B11" s="38">
        <v>5546000032</v>
      </c>
      <c r="C11" s="39" t="s">
        <v>83</v>
      </c>
      <c r="D11" s="12">
        <v>68</v>
      </c>
      <c r="E11" s="8">
        <f t="shared" si="0"/>
        <v>18.133333333333333</v>
      </c>
      <c r="F11" s="3">
        <f t="shared" si="1"/>
        <v>81.056379451285693</v>
      </c>
      <c r="G11" s="12">
        <v>26</v>
      </c>
      <c r="H11" s="8">
        <f t="shared" si="2"/>
        <v>8.6666666666666661</v>
      </c>
      <c r="I11" s="3">
        <f t="shared" si="3"/>
        <v>45.201425650313034</v>
      </c>
      <c r="J11" s="12">
        <v>45</v>
      </c>
      <c r="K11" s="8">
        <f t="shared" si="4"/>
        <v>4.5</v>
      </c>
      <c r="L11" s="3">
        <f t="shared" si="5"/>
        <v>19.324093985017978</v>
      </c>
      <c r="M11" s="12">
        <v>81</v>
      </c>
      <c r="N11" s="8">
        <f t="shared" si="6"/>
        <v>8.1</v>
      </c>
      <c r="O11" s="3">
        <f t="shared" si="7"/>
        <v>41.913062957791887</v>
      </c>
      <c r="P11" s="12">
        <v>45</v>
      </c>
      <c r="Q11" s="8">
        <f t="shared" si="8"/>
        <v>9</v>
      </c>
      <c r="R11" s="3">
        <f t="shared" si="9"/>
        <v>41.633399734659243</v>
      </c>
      <c r="V11" s="1" t="s">
        <v>2</v>
      </c>
    </row>
    <row r="12" spans="1:22" ht="22" x14ac:dyDescent="0.35">
      <c r="A12" s="6">
        <v>43</v>
      </c>
      <c r="B12" s="38">
        <v>5546000042</v>
      </c>
      <c r="C12" s="39" t="s">
        <v>84</v>
      </c>
      <c r="D12" s="12">
        <v>70</v>
      </c>
      <c r="E12" s="8">
        <f t="shared" si="0"/>
        <v>18.666666666666668</v>
      </c>
      <c r="F12" s="3">
        <f t="shared" si="1"/>
        <v>97.895153272365079</v>
      </c>
      <c r="G12" s="12">
        <v>25</v>
      </c>
      <c r="H12" s="8">
        <f t="shared" si="2"/>
        <v>8.3333333333333339</v>
      </c>
      <c r="I12" s="3">
        <f t="shared" si="3"/>
        <v>37.523706690813889</v>
      </c>
      <c r="J12" s="12">
        <v>48</v>
      </c>
      <c r="K12" s="8">
        <f t="shared" si="4"/>
        <v>4.8</v>
      </c>
      <c r="L12" s="3">
        <f t="shared" si="5"/>
        <v>26.891968671660674</v>
      </c>
      <c r="M12" s="12">
        <v>82</v>
      </c>
      <c r="N12" s="8">
        <f t="shared" si="6"/>
        <v>8.1999999999999993</v>
      </c>
      <c r="O12" s="3">
        <f t="shared" si="7"/>
        <v>43.615576019309387</v>
      </c>
      <c r="P12" s="12">
        <v>46</v>
      </c>
      <c r="Q12" s="8">
        <f t="shared" si="8"/>
        <v>9.1999999999999993</v>
      </c>
      <c r="R12" s="3">
        <f t="shared" si="9"/>
        <v>50</v>
      </c>
    </row>
    <row r="13" spans="1:22" ht="22" x14ac:dyDescent="0.35">
      <c r="A13" s="6">
        <v>53</v>
      </c>
      <c r="B13" s="38">
        <v>5546000052</v>
      </c>
      <c r="C13" s="39" t="s">
        <v>85</v>
      </c>
      <c r="D13" s="12">
        <v>69</v>
      </c>
      <c r="E13" s="8">
        <f t="shared" si="0"/>
        <v>18.399999999999999</v>
      </c>
      <c r="F13" s="3">
        <f t="shared" si="1"/>
        <v>89.475766361825379</v>
      </c>
      <c r="G13" s="12">
        <v>27</v>
      </c>
      <c r="H13" s="8">
        <f t="shared" si="2"/>
        <v>9</v>
      </c>
      <c r="I13" s="3">
        <f t="shared" si="3"/>
        <v>52.87914460981218</v>
      </c>
      <c r="J13" s="12">
        <v>46</v>
      </c>
      <c r="K13" s="8">
        <f t="shared" si="4"/>
        <v>4.5999999999999996</v>
      </c>
      <c r="L13" s="3">
        <f t="shared" si="5"/>
        <v>21.846718880565543</v>
      </c>
      <c r="M13" s="12">
        <v>81</v>
      </c>
      <c r="N13" s="8">
        <f t="shared" si="6"/>
        <v>8.1</v>
      </c>
      <c r="O13" s="3">
        <f t="shared" si="7"/>
        <v>41.913062957791887</v>
      </c>
      <c r="P13" s="12">
        <v>45</v>
      </c>
      <c r="Q13" s="8">
        <f t="shared" si="8"/>
        <v>9</v>
      </c>
      <c r="R13" s="3">
        <f t="shared" si="9"/>
        <v>41.633399734659243</v>
      </c>
    </row>
    <row r="14" spans="1:22" ht="22" x14ac:dyDescent="0.35">
      <c r="A14" s="6">
        <v>63</v>
      </c>
      <c r="B14" s="38">
        <v>5546000062</v>
      </c>
      <c r="C14" s="39" t="s">
        <v>86</v>
      </c>
      <c r="D14" s="12">
        <v>73</v>
      </c>
      <c r="E14" s="8">
        <f t="shared" si="0"/>
        <v>19.466666666666665</v>
      </c>
      <c r="F14" s="3">
        <f t="shared" si="1"/>
        <v>123.15331400398415</v>
      </c>
      <c r="G14" s="12">
        <v>28</v>
      </c>
      <c r="H14" s="8">
        <f t="shared" si="2"/>
        <v>9.3333333333333339</v>
      </c>
      <c r="I14" s="3">
        <f t="shared" si="3"/>
        <v>60.556863569311325</v>
      </c>
      <c r="J14" s="12">
        <v>49</v>
      </c>
      <c r="K14" s="8">
        <f t="shared" si="4"/>
        <v>4.9000000000000004</v>
      </c>
      <c r="L14" s="3">
        <f t="shared" si="5"/>
        <v>29.414593567208239</v>
      </c>
      <c r="M14" s="12">
        <v>91</v>
      </c>
      <c r="N14" s="8">
        <f t="shared" si="6"/>
        <v>9.1</v>
      </c>
      <c r="O14" s="3">
        <f t="shared" si="7"/>
        <v>58.93819357296686</v>
      </c>
      <c r="P14" s="12">
        <v>47</v>
      </c>
      <c r="Q14" s="8">
        <f t="shared" si="8"/>
        <v>9.4</v>
      </c>
      <c r="R14" s="3">
        <f t="shared" si="9"/>
        <v>58.366600265340757</v>
      </c>
    </row>
    <row r="15" spans="1:22" ht="22" x14ac:dyDescent="0.35">
      <c r="A15" s="6">
        <v>73</v>
      </c>
      <c r="B15" s="38">
        <v>5546000072</v>
      </c>
      <c r="C15" s="39" t="s">
        <v>87</v>
      </c>
      <c r="D15" s="12">
        <v>73</v>
      </c>
      <c r="E15" s="8">
        <f t="shared" si="0"/>
        <v>19.466666666666665</v>
      </c>
      <c r="F15" s="3">
        <f t="shared" si="1"/>
        <v>123.15331400398415</v>
      </c>
      <c r="G15" s="12">
        <v>28</v>
      </c>
      <c r="H15" s="8">
        <f t="shared" si="2"/>
        <v>9.3333333333333339</v>
      </c>
      <c r="I15" s="3">
        <f t="shared" si="3"/>
        <v>60.556863569311325</v>
      </c>
      <c r="J15" s="12">
        <v>50</v>
      </c>
      <c r="K15" s="8">
        <f t="shared" si="4"/>
        <v>5</v>
      </c>
      <c r="L15" s="3">
        <f t="shared" si="5"/>
        <v>31.937218462755805</v>
      </c>
      <c r="M15" s="12">
        <v>95</v>
      </c>
      <c r="N15" s="8">
        <f t="shared" si="6"/>
        <v>9.5</v>
      </c>
      <c r="O15" s="3">
        <f t="shared" si="7"/>
        <v>65.748245819036853</v>
      </c>
      <c r="P15" s="12">
        <v>48</v>
      </c>
      <c r="Q15" s="8">
        <f t="shared" si="8"/>
        <v>9.6</v>
      </c>
      <c r="R15" s="3">
        <f t="shared" si="9"/>
        <v>66.733200530681515</v>
      </c>
    </row>
    <row r="16" spans="1:22" ht="18" customHeight="1" x14ac:dyDescent="0.35">
      <c r="C16" s="42" t="s">
        <v>13</v>
      </c>
      <c r="D16" s="9">
        <f>AVERAGE($D$8:$D$15)</f>
        <v>70.25</v>
      </c>
      <c r="E16" s="2"/>
      <c r="F16" s="2"/>
      <c r="G16" s="9">
        <f>AVERAGE($G$8:$G$15)</f>
        <v>26.625</v>
      </c>
      <c r="J16" s="9">
        <f>AVERAGE($J$8:$J$15)</f>
        <v>47.25</v>
      </c>
      <c r="M16" s="9">
        <f>AVERAGE($M$8:$M$15)</f>
        <v>85.75</v>
      </c>
      <c r="P16" s="9">
        <f>AVERAGE($P$8:$P$15)</f>
        <v>46</v>
      </c>
    </row>
    <row r="17" spans="1:19" ht="18" customHeight="1" x14ac:dyDescent="0.35">
      <c r="C17" s="42" t="s">
        <v>14</v>
      </c>
      <c r="D17" s="9">
        <f>STDEV($D$8:$D$15)</f>
        <v>2.3754698783308417</v>
      </c>
      <c r="E17" s="2"/>
      <c r="F17" s="2"/>
      <c r="G17" s="9">
        <f>STDEV($G$8:$G$15)</f>
        <v>1.3024701806293193</v>
      </c>
      <c r="J17" s="9">
        <f>STDEV($J$8:$J$15)</f>
        <v>1.9820624179302297</v>
      </c>
      <c r="M17" s="9">
        <f>STDEV(M8:M15)</f>
        <v>5.873670062235365</v>
      </c>
      <c r="P17" s="9">
        <f>STDEV(P8:P15)</f>
        <v>1.1952286093343936</v>
      </c>
    </row>
    <row r="18" spans="1:19" ht="18" customHeight="1" x14ac:dyDescent="0.35">
      <c r="C18" s="42"/>
      <c r="D18" s="206" t="s">
        <v>78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3</v>
      </c>
      <c r="B22" s="38">
        <v>5546000002</v>
      </c>
      <c r="C22" s="39" t="s">
        <v>80</v>
      </c>
      <c r="D22" s="12">
        <v>48</v>
      </c>
      <c r="E22" s="8">
        <f>(D22*$E$21)/$D$21</f>
        <v>4.8</v>
      </c>
      <c r="F22" s="3">
        <f>IF($D$31=0,50,(50+(10*(STANDARDIZE(D22,$D$30,$D$31)))))*$F$21</f>
        <v>25</v>
      </c>
      <c r="G22" s="12">
        <v>38</v>
      </c>
      <c r="H22" s="8">
        <f>(G22*$H$21)/$G$21</f>
        <v>4.75</v>
      </c>
      <c r="I22" s="3">
        <f>IF($G$31=0,50,(50+(10*(STANDARDIZE(G22,$G$30,$G$31)))))*$I$21</f>
        <v>25</v>
      </c>
      <c r="J22" s="12">
        <v>48</v>
      </c>
      <c r="K22" s="8">
        <f>(J22*$K$21)/$J$21</f>
        <v>4.8</v>
      </c>
      <c r="L22" s="3">
        <f>IF($J$31=0,50,(50+(10*(STANDARDIZE(J22,$J$30,$J$31)))))*$L$21</f>
        <v>25</v>
      </c>
      <c r="M22" s="12">
        <v>38</v>
      </c>
      <c r="N22" s="8">
        <f>(M22*$N$21)/$M$21</f>
        <v>4.75</v>
      </c>
      <c r="O22" s="3">
        <f>IF($M$31=0,50,(50+(10*(STANDARDIZE(M22,$M$30,$M$31)))))*$O$21</f>
        <v>25</v>
      </c>
      <c r="P22" s="12">
        <v>65</v>
      </c>
      <c r="Q22" s="8">
        <f>(P22*$Q$21)/$P$21</f>
        <v>9.2857142857142865</v>
      </c>
      <c r="R22" s="3">
        <f>IF($P$31=0,50,(50+(10*(STANDARDIZE(P22,$P$30,$P$31)))))*$R$21</f>
        <v>53.307189138830736</v>
      </c>
    </row>
    <row r="23" spans="1:19" ht="22" x14ac:dyDescent="0.35">
      <c r="A23" s="6">
        <v>13</v>
      </c>
      <c r="B23" s="38">
        <v>5546000012</v>
      </c>
      <c r="C23" s="39" t="s">
        <v>81</v>
      </c>
      <c r="D23" s="12">
        <v>48</v>
      </c>
      <c r="E23" s="8">
        <f t="shared" ref="E23:E29" si="10">(D23*$E$21)/$D$21</f>
        <v>4.8</v>
      </c>
      <c r="F23" s="3">
        <f t="shared" ref="F23:F29" si="11">IF($D$31=0,50,(50+(10*(STANDARDIZE(D23,$D$30,$D$31)))))*$F$21</f>
        <v>25</v>
      </c>
      <c r="G23" s="12">
        <v>38</v>
      </c>
      <c r="H23" s="8">
        <f t="shared" ref="H23:H29" si="12">(G23*$H$21)/$G$21</f>
        <v>4.75</v>
      </c>
      <c r="I23" s="3">
        <f t="shared" ref="I23:I29" si="13">IF($G$31=0,50,(50+(10*(STANDARDIZE(G23,$G$30,$G$31)))))*$I$21</f>
        <v>25</v>
      </c>
      <c r="J23" s="12">
        <v>48</v>
      </c>
      <c r="K23" s="8">
        <f t="shared" ref="K23:K29" si="14">(J23*$K$21)/$J$21</f>
        <v>4.8</v>
      </c>
      <c r="L23" s="3">
        <f t="shared" ref="L23:L29" si="15">IF($J$31=0,50,(50+(10*(STANDARDIZE(J23,$J$30,$J$31)))))*$L$21</f>
        <v>25</v>
      </c>
      <c r="M23" s="12">
        <v>38</v>
      </c>
      <c r="N23" s="8">
        <f t="shared" ref="N23:N29" si="16">(M23*$N$21)/$M$21</f>
        <v>4.75</v>
      </c>
      <c r="O23" s="3">
        <f t="shared" ref="O23:O29" si="17">IF($M$31=0,50,(50+(10*(STANDARDIZE(M23,$M$30,$M$31)))))*$O$21</f>
        <v>25</v>
      </c>
      <c r="P23" s="12">
        <v>63</v>
      </c>
      <c r="Q23" s="8">
        <f t="shared" ref="Q23:Q29" si="18">(P23*$Q$21)/$P$21</f>
        <v>9</v>
      </c>
      <c r="R23" s="3">
        <f t="shared" ref="R23:R29" si="19">IF($P$31=0,50,(50+(10*(STANDARDIZE(P23,$P$30,$P$31)))))*$R$21</f>
        <v>40.078432583507784</v>
      </c>
    </row>
    <row r="24" spans="1:19" ht="22" x14ac:dyDescent="0.35">
      <c r="A24" s="6">
        <v>23</v>
      </c>
      <c r="B24" s="38">
        <v>5546000022</v>
      </c>
      <c r="C24" s="39" t="s">
        <v>82</v>
      </c>
      <c r="D24" s="12">
        <v>48</v>
      </c>
      <c r="E24" s="8">
        <f t="shared" si="10"/>
        <v>4.8</v>
      </c>
      <c r="F24" s="3">
        <f t="shared" si="11"/>
        <v>25</v>
      </c>
      <c r="G24" s="12">
        <v>38</v>
      </c>
      <c r="H24" s="8">
        <f t="shared" si="12"/>
        <v>4.75</v>
      </c>
      <c r="I24" s="3">
        <f t="shared" si="13"/>
        <v>25</v>
      </c>
      <c r="J24" s="12">
        <v>48</v>
      </c>
      <c r="K24" s="8">
        <f t="shared" si="14"/>
        <v>4.8</v>
      </c>
      <c r="L24" s="3">
        <f t="shared" si="15"/>
        <v>25</v>
      </c>
      <c r="M24" s="12">
        <v>38</v>
      </c>
      <c r="N24" s="8">
        <f t="shared" si="16"/>
        <v>4.75</v>
      </c>
      <c r="O24" s="3">
        <f t="shared" si="17"/>
        <v>25</v>
      </c>
      <c r="P24" s="12">
        <v>67</v>
      </c>
      <c r="Q24" s="8">
        <f t="shared" si="18"/>
        <v>9.5714285714285712</v>
      </c>
      <c r="R24" s="3">
        <f t="shared" si="19"/>
        <v>66.535945694153696</v>
      </c>
    </row>
    <row r="25" spans="1:19" ht="22" x14ac:dyDescent="0.35">
      <c r="A25" s="6">
        <v>33</v>
      </c>
      <c r="B25" s="38">
        <v>5546000032</v>
      </c>
      <c r="C25" s="39" t="s">
        <v>83</v>
      </c>
      <c r="D25" s="12">
        <v>48</v>
      </c>
      <c r="E25" s="8">
        <f t="shared" si="10"/>
        <v>4.8</v>
      </c>
      <c r="F25" s="3">
        <f t="shared" si="11"/>
        <v>25</v>
      </c>
      <c r="G25" s="12">
        <v>38</v>
      </c>
      <c r="H25" s="8">
        <f t="shared" si="12"/>
        <v>4.75</v>
      </c>
      <c r="I25" s="3">
        <f t="shared" si="13"/>
        <v>25</v>
      </c>
      <c r="J25" s="12">
        <v>48</v>
      </c>
      <c r="K25" s="8">
        <f t="shared" si="14"/>
        <v>4.8</v>
      </c>
      <c r="L25" s="3">
        <f t="shared" si="15"/>
        <v>25</v>
      </c>
      <c r="M25" s="12">
        <v>38</v>
      </c>
      <c r="N25" s="8">
        <f t="shared" si="16"/>
        <v>4.75</v>
      </c>
      <c r="O25" s="3">
        <f t="shared" si="17"/>
        <v>25</v>
      </c>
      <c r="P25" s="12">
        <v>63</v>
      </c>
      <c r="Q25" s="8">
        <f t="shared" si="18"/>
        <v>9</v>
      </c>
      <c r="R25" s="3">
        <f t="shared" si="19"/>
        <v>40.078432583507784</v>
      </c>
    </row>
    <row r="26" spans="1:19" ht="22" x14ac:dyDescent="0.35">
      <c r="A26" s="6">
        <v>43</v>
      </c>
      <c r="B26" s="38">
        <v>5546000042</v>
      </c>
      <c r="C26" s="39" t="s">
        <v>84</v>
      </c>
      <c r="D26" s="12">
        <v>48</v>
      </c>
      <c r="E26" s="8">
        <f t="shared" si="10"/>
        <v>4.8</v>
      </c>
      <c r="F26" s="3">
        <f t="shared" si="11"/>
        <v>25</v>
      </c>
      <c r="G26" s="12">
        <v>38</v>
      </c>
      <c r="H26" s="8">
        <f t="shared" si="12"/>
        <v>4.75</v>
      </c>
      <c r="I26" s="3">
        <f t="shared" si="13"/>
        <v>25</v>
      </c>
      <c r="J26" s="12">
        <v>48</v>
      </c>
      <c r="K26" s="8">
        <f t="shared" si="14"/>
        <v>4.8</v>
      </c>
      <c r="L26" s="3">
        <f t="shared" si="15"/>
        <v>25</v>
      </c>
      <c r="M26" s="12">
        <v>38</v>
      </c>
      <c r="N26" s="8">
        <f t="shared" si="16"/>
        <v>4.75</v>
      </c>
      <c r="O26" s="3">
        <f t="shared" si="17"/>
        <v>25</v>
      </c>
      <c r="P26" s="12">
        <v>63</v>
      </c>
      <c r="Q26" s="8">
        <f t="shared" si="18"/>
        <v>9</v>
      </c>
      <c r="R26" s="3">
        <f t="shared" si="19"/>
        <v>40.078432583507784</v>
      </c>
    </row>
    <row r="27" spans="1:19" ht="22" x14ac:dyDescent="0.35">
      <c r="A27" s="6">
        <v>53</v>
      </c>
      <c r="B27" s="38">
        <v>5546000052</v>
      </c>
      <c r="C27" s="39" t="s">
        <v>85</v>
      </c>
      <c r="D27" s="12">
        <v>48</v>
      </c>
      <c r="E27" s="8">
        <f t="shared" si="10"/>
        <v>4.8</v>
      </c>
      <c r="F27" s="3">
        <f t="shared" si="11"/>
        <v>25</v>
      </c>
      <c r="G27" s="12">
        <v>38</v>
      </c>
      <c r="H27" s="8">
        <f t="shared" si="12"/>
        <v>4.75</v>
      </c>
      <c r="I27" s="3">
        <f t="shared" si="13"/>
        <v>25</v>
      </c>
      <c r="J27" s="12">
        <v>48</v>
      </c>
      <c r="K27" s="8">
        <f t="shared" si="14"/>
        <v>4.8</v>
      </c>
      <c r="L27" s="3">
        <f t="shared" si="15"/>
        <v>25</v>
      </c>
      <c r="M27" s="12">
        <v>38</v>
      </c>
      <c r="N27" s="8">
        <f t="shared" si="16"/>
        <v>4.75</v>
      </c>
      <c r="O27" s="3">
        <f t="shared" si="17"/>
        <v>25</v>
      </c>
      <c r="P27" s="12">
        <v>64</v>
      </c>
      <c r="Q27" s="8">
        <f t="shared" si="18"/>
        <v>9.1428571428571423</v>
      </c>
      <c r="R27" s="3">
        <f t="shared" si="19"/>
        <v>46.692810861169264</v>
      </c>
    </row>
    <row r="28" spans="1:19" ht="22" x14ac:dyDescent="0.35">
      <c r="A28" s="6">
        <v>63</v>
      </c>
      <c r="B28" s="38">
        <v>5546000062</v>
      </c>
      <c r="C28" s="39" t="s">
        <v>86</v>
      </c>
      <c r="D28" s="12">
        <v>48</v>
      </c>
      <c r="E28" s="8">
        <f t="shared" si="10"/>
        <v>4.8</v>
      </c>
      <c r="F28" s="3">
        <f t="shared" si="11"/>
        <v>25</v>
      </c>
      <c r="G28" s="12">
        <v>38</v>
      </c>
      <c r="H28" s="8">
        <f t="shared" si="12"/>
        <v>4.75</v>
      </c>
      <c r="I28" s="3">
        <f t="shared" si="13"/>
        <v>25</v>
      </c>
      <c r="J28" s="12">
        <v>48</v>
      </c>
      <c r="K28" s="8">
        <f t="shared" si="14"/>
        <v>4.8</v>
      </c>
      <c r="L28" s="3">
        <f t="shared" si="15"/>
        <v>25</v>
      </c>
      <c r="M28" s="12">
        <v>38</v>
      </c>
      <c r="N28" s="8">
        <f t="shared" si="16"/>
        <v>4.75</v>
      </c>
      <c r="O28" s="3">
        <f t="shared" si="17"/>
        <v>25</v>
      </c>
      <c r="P28" s="12">
        <v>65</v>
      </c>
      <c r="Q28" s="8">
        <f t="shared" si="18"/>
        <v>9.2857142857142865</v>
      </c>
      <c r="R28" s="3">
        <f t="shared" si="19"/>
        <v>53.307189138830736</v>
      </c>
    </row>
    <row r="29" spans="1:19" ht="22" x14ac:dyDescent="0.35">
      <c r="A29" s="6">
        <v>73</v>
      </c>
      <c r="B29" s="38">
        <v>5546000072</v>
      </c>
      <c r="C29" s="39" t="s">
        <v>87</v>
      </c>
      <c r="D29" s="12">
        <v>48</v>
      </c>
      <c r="E29" s="8">
        <f t="shared" si="10"/>
        <v>4.8</v>
      </c>
      <c r="F29" s="3">
        <f t="shared" si="11"/>
        <v>25</v>
      </c>
      <c r="G29" s="12">
        <v>38</v>
      </c>
      <c r="H29" s="8">
        <f t="shared" si="12"/>
        <v>4.75</v>
      </c>
      <c r="I29" s="3">
        <f t="shared" si="13"/>
        <v>25</v>
      </c>
      <c r="J29" s="12">
        <v>48</v>
      </c>
      <c r="K29" s="8">
        <f t="shared" si="14"/>
        <v>4.8</v>
      </c>
      <c r="L29" s="3">
        <f t="shared" si="15"/>
        <v>25</v>
      </c>
      <c r="M29" s="12">
        <v>38</v>
      </c>
      <c r="N29" s="8">
        <f t="shared" si="16"/>
        <v>4.75</v>
      </c>
      <c r="O29" s="3">
        <f t="shared" si="17"/>
        <v>25</v>
      </c>
      <c r="P29" s="12">
        <v>66</v>
      </c>
      <c r="Q29" s="8">
        <f t="shared" si="18"/>
        <v>9.4285714285714288</v>
      </c>
      <c r="R29" s="3">
        <f t="shared" si="19"/>
        <v>59.921567416492216</v>
      </c>
    </row>
    <row r="30" spans="1:19" x14ac:dyDescent="0.35">
      <c r="C30" s="42" t="s">
        <v>13</v>
      </c>
      <c r="D30" s="9">
        <f>AVERAGE($D$22:$D$29)</f>
        <v>48</v>
      </c>
      <c r="G30" s="9">
        <f>AVERAGE($G$22:$G$29)</f>
        <v>38</v>
      </c>
      <c r="J30" s="9">
        <f>AVERAGE($J$22:$J$29)</f>
        <v>48</v>
      </c>
      <c r="M30" s="9">
        <f>AVERAGE($M$22:$M$29)</f>
        <v>38</v>
      </c>
      <c r="P30" s="9">
        <f>AVERAGE($P$22:$P$29)</f>
        <v>64.5</v>
      </c>
    </row>
    <row r="31" spans="1:19" x14ac:dyDescent="0.35">
      <c r="C31" s="42" t="s">
        <v>14</v>
      </c>
      <c r="D31" s="9">
        <f>STDEV($D$22:$D$29)</f>
        <v>0</v>
      </c>
      <c r="F31" s="5"/>
      <c r="G31" s="9">
        <f>STDEV($G$22:$G$29)</f>
        <v>0</v>
      </c>
      <c r="J31" s="9">
        <f>STDEV($J$22:$J$29)</f>
        <v>0</v>
      </c>
      <c r="L31" s="5"/>
      <c r="M31" s="9">
        <f>STDEV($M$22:$M$29)</f>
        <v>0</v>
      </c>
      <c r="P31" s="9">
        <f>STDEV($P$22:$P$29)</f>
        <v>1.5118578920369088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77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3</v>
      </c>
      <c r="B37" s="38">
        <v>5546000002</v>
      </c>
      <c r="C37" s="39" t="s">
        <v>80</v>
      </c>
      <c r="D37" s="12">
        <v>22</v>
      </c>
      <c r="E37" s="8">
        <f>(D37*$E$36)/$D$36</f>
        <v>3.6666666666666665</v>
      </c>
      <c r="F37" s="3">
        <f>IF($D$46=0,50,(50+(10*(STANDARDIZE(D37,$D$45,$D$46)))))*$F$36</f>
        <v>21.206393883331977</v>
      </c>
      <c r="G37" s="12">
        <v>46</v>
      </c>
      <c r="H37" s="8">
        <f>(G37*$H$36)/$G$36</f>
        <v>4.5999999999999996</v>
      </c>
      <c r="I37" s="3">
        <f>IF($G$46=0,50,(50+(10*(STANDARDIZE(G37,$G$45,$G$46)))))*$I$36</f>
        <v>20.852389856445928</v>
      </c>
      <c r="J37" s="12">
        <v>33</v>
      </c>
      <c r="K37" s="8">
        <f>(J37*$K$36)/$J$36</f>
        <v>2.75</v>
      </c>
      <c r="L37" s="3">
        <f>IF($J$46=0,50,(50+(10*(STANDARDIZE(J37,$J$45,$J$46)))))*$L$36</f>
        <v>22.047978507139735</v>
      </c>
      <c r="M37" s="9"/>
      <c r="N37" s="19"/>
      <c r="O37" s="9"/>
      <c r="P37" s="2"/>
      <c r="Q37" s="19"/>
      <c r="R37" s="9"/>
    </row>
    <row r="38" spans="1:22" ht="22" x14ac:dyDescent="0.35">
      <c r="A38" s="6">
        <v>13</v>
      </c>
      <c r="B38" s="38">
        <v>5546000012</v>
      </c>
      <c r="C38" s="39" t="s">
        <v>81</v>
      </c>
      <c r="D38" s="12">
        <v>22</v>
      </c>
      <c r="E38" s="8">
        <f t="shared" ref="E38:E44" si="20">(D38*$E$36)/$D$36</f>
        <v>3.6666666666666665</v>
      </c>
      <c r="F38" s="3">
        <f t="shared" ref="F38:F44" si="21">IF($D$46=0,50,(50+(10*(STANDARDIZE(D38,$D$45,$D$46)))))*$F$36</f>
        <v>21.206393883331977</v>
      </c>
      <c r="G38" s="12">
        <v>46</v>
      </c>
      <c r="H38" s="8">
        <f t="shared" ref="H38:H44" si="22">(G38*$H$36)/$G$36</f>
        <v>4.5999999999999996</v>
      </c>
      <c r="I38" s="3">
        <f t="shared" ref="I38:I44" si="23">IF($G$46=0,50,(50+(10*(STANDARDIZE(G38,$G$45,$G$46)))))*$I$36</f>
        <v>20.852389856445928</v>
      </c>
      <c r="J38" s="12">
        <v>22</v>
      </c>
      <c r="K38" s="8">
        <f t="shared" ref="K38:K44" si="24">(J38*$K$36)/$J$36</f>
        <v>1.8333333333333333</v>
      </c>
      <c r="L38" s="3">
        <f t="shared" ref="L38:L44" si="25">IF($J$46=0,50,(50+(10*(STANDARDIZE(J38,$J$45,$J$46)))))*$L$36</f>
        <v>15.862790617337277</v>
      </c>
      <c r="M38" s="9"/>
      <c r="N38" s="19"/>
      <c r="O38" s="9"/>
      <c r="P38" s="2"/>
      <c r="Q38" s="19"/>
      <c r="R38" s="9"/>
    </row>
    <row r="39" spans="1:22" ht="22" x14ac:dyDescent="0.35">
      <c r="A39" s="6">
        <v>23</v>
      </c>
      <c r="B39" s="38">
        <v>5546000022</v>
      </c>
      <c r="C39" s="39" t="s">
        <v>82</v>
      </c>
      <c r="D39" s="12">
        <v>24</v>
      </c>
      <c r="E39" s="8">
        <f t="shared" si="20"/>
        <v>4</v>
      </c>
      <c r="F39" s="3">
        <f t="shared" si="21"/>
        <v>24.241278776666395</v>
      </c>
      <c r="G39" s="12">
        <v>49</v>
      </c>
      <c r="H39" s="8">
        <f t="shared" si="22"/>
        <v>4.9000000000000004</v>
      </c>
      <c r="I39" s="3">
        <f t="shared" si="23"/>
        <v>31.912683572590119</v>
      </c>
      <c r="J39" s="12">
        <v>46</v>
      </c>
      <c r="K39" s="8">
        <f t="shared" si="24"/>
        <v>3.8333333333333335</v>
      </c>
      <c r="L39" s="3">
        <f t="shared" si="25"/>
        <v>29.357746013269914</v>
      </c>
      <c r="M39" s="9"/>
      <c r="N39" s="19"/>
      <c r="O39" s="9"/>
      <c r="P39" s="2"/>
      <c r="Q39" s="19"/>
      <c r="R39" s="9"/>
    </row>
    <row r="40" spans="1:22" ht="22" x14ac:dyDescent="0.35">
      <c r="A40" s="6">
        <v>33</v>
      </c>
      <c r="B40" s="38">
        <v>5546000032</v>
      </c>
      <c r="C40" s="39" t="s">
        <v>83</v>
      </c>
      <c r="D40" s="12">
        <v>22</v>
      </c>
      <c r="E40" s="8">
        <f t="shared" si="20"/>
        <v>3.6666666666666665</v>
      </c>
      <c r="F40" s="3">
        <f t="shared" si="21"/>
        <v>21.206393883331977</v>
      </c>
      <c r="G40" s="12">
        <v>46</v>
      </c>
      <c r="H40" s="8">
        <f t="shared" si="22"/>
        <v>4.5999999999999996</v>
      </c>
      <c r="I40" s="3">
        <f t="shared" si="23"/>
        <v>20.852389856445928</v>
      </c>
      <c r="J40" s="12">
        <v>42</v>
      </c>
      <c r="K40" s="8">
        <f t="shared" si="24"/>
        <v>3.5</v>
      </c>
      <c r="L40" s="3">
        <f t="shared" si="25"/>
        <v>27.108586780614473</v>
      </c>
      <c r="M40" s="9"/>
      <c r="N40" s="19"/>
      <c r="O40" s="9"/>
      <c r="P40" s="2"/>
      <c r="Q40" s="19"/>
      <c r="R40" s="9"/>
    </row>
    <row r="41" spans="1:22" ht="22" x14ac:dyDescent="0.35">
      <c r="A41" s="6">
        <v>43</v>
      </c>
      <c r="B41" s="38">
        <v>5546000042</v>
      </c>
      <c r="C41" s="39" t="s">
        <v>84</v>
      </c>
      <c r="D41" s="12">
        <v>22</v>
      </c>
      <c r="E41" s="8">
        <f t="shared" si="20"/>
        <v>3.6666666666666665</v>
      </c>
      <c r="F41" s="3">
        <f t="shared" si="21"/>
        <v>21.206393883331977</v>
      </c>
      <c r="G41" s="12">
        <v>47</v>
      </c>
      <c r="H41" s="8">
        <f t="shared" si="22"/>
        <v>4.7</v>
      </c>
      <c r="I41" s="3">
        <f t="shared" si="23"/>
        <v>24.53915442849399</v>
      </c>
      <c r="J41" s="12">
        <v>30</v>
      </c>
      <c r="K41" s="8">
        <f t="shared" si="24"/>
        <v>2.5</v>
      </c>
      <c r="L41" s="3">
        <f t="shared" si="25"/>
        <v>20.361109082648156</v>
      </c>
      <c r="M41" s="9"/>
      <c r="N41" s="19"/>
      <c r="O41" s="9"/>
      <c r="P41" s="2"/>
      <c r="Q41" s="19"/>
      <c r="R41" s="9"/>
    </row>
    <row r="42" spans="1:22" ht="22" x14ac:dyDescent="0.35">
      <c r="A42" s="6">
        <v>53</v>
      </c>
      <c r="B42" s="38">
        <v>5546000052</v>
      </c>
      <c r="C42" s="39" t="s">
        <v>85</v>
      </c>
      <c r="D42" s="12">
        <v>25</v>
      </c>
      <c r="E42" s="8">
        <f t="shared" si="20"/>
        <v>4.166666666666667</v>
      </c>
      <c r="F42" s="3">
        <f t="shared" si="21"/>
        <v>25.758721223333605</v>
      </c>
      <c r="G42" s="12">
        <v>46</v>
      </c>
      <c r="H42" s="8">
        <f t="shared" si="22"/>
        <v>4.5999999999999996</v>
      </c>
      <c r="I42" s="3">
        <f t="shared" si="23"/>
        <v>20.852389856445928</v>
      </c>
      <c r="J42" s="12">
        <v>46</v>
      </c>
      <c r="K42" s="8">
        <f t="shared" si="24"/>
        <v>3.8333333333333335</v>
      </c>
      <c r="L42" s="3">
        <f t="shared" si="25"/>
        <v>29.357746013269914</v>
      </c>
      <c r="M42" s="9"/>
      <c r="N42" s="19"/>
      <c r="O42" s="9"/>
      <c r="P42" s="2"/>
      <c r="Q42" s="19"/>
      <c r="R42" s="9"/>
    </row>
    <row r="43" spans="1:22" ht="22" x14ac:dyDescent="0.35">
      <c r="A43" s="6">
        <v>63</v>
      </c>
      <c r="B43" s="38">
        <v>5546000062</v>
      </c>
      <c r="C43" s="39" t="s">
        <v>86</v>
      </c>
      <c r="D43" s="12">
        <v>29</v>
      </c>
      <c r="E43" s="8">
        <f t="shared" si="20"/>
        <v>4.833333333333333</v>
      </c>
      <c r="F43" s="3">
        <f t="shared" si="21"/>
        <v>31.828491010002445</v>
      </c>
      <c r="G43" s="12">
        <v>48</v>
      </c>
      <c r="H43" s="8">
        <f t="shared" si="22"/>
        <v>4.8</v>
      </c>
      <c r="I43" s="3">
        <f t="shared" si="23"/>
        <v>28.225919000542056</v>
      </c>
      <c r="J43" s="12">
        <v>42</v>
      </c>
      <c r="K43" s="8">
        <f t="shared" si="24"/>
        <v>3.5</v>
      </c>
      <c r="L43" s="3">
        <f t="shared" si="25"/>
        <v>27.108586780614473</v>
      </c>
      <c r="M43" s="9"/>
      <c r="N43" s="19"/>
      <c r="O43" s="9"/>
      <c r="P43" s="2"/>
      <c r="Q43" s="19"/>
      <c r="R43" s="9"/>
    </row>
    <row r="44" spans="1:22" ht="22" x14ac:dyDescent="0.35">
      <c r="A44" s="6">
        <v>73</v>
      </c>
      <c r="B44" s="38">
        <v>5546000072</v>
      </c>
      <c r="C44" s="39" t="s">
        <v>87</v>
      </c>
      <c r="D44" s="12">
        <v>30</v>
      </c>
      <c r="E44" s="8">
        <f t="shared" si="20"/>
        <v>5</v>
      </c>
      <c r="F44" s="3">
        <f t="shared" si="21"/>
        <v>33.345933456669655</v>
      </c>
      <c r="G44" s="12">
        <v>49</v>
      </c>
      <c r="H44" s="8">
        <f t="shared" si="22"/>
        <v>4.9000000000000004</v>
      </c>
      <c r="I44" s="3">
        <f t="shared" si="23"/>
        <v>31.912683572590119</v>
      </c>
      <c r="J44" s="12">
        <v>45</v>
      </c>
      <c r="K44" s="8">
        <f t="shared" si="24"/>
        <v>3.75</v>
      </c>
      <c r="L44" s="3">
        <f t="shared" si="25"/>
        <v>28.795456205106053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24.5</v>
      </c>
      <c r="G45" s="9">
        <f>AVERAGE($G$37:$G$44)</f>
        <v>47.125</v>
      </c>
      <c r="J45" s="9">
        <f>AVERAGE($J$37:$J$44)</f>
        <v>38.25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3.295017884191656</v>
      </c>
      <c r="F46" s="5"/>
      <c r="G46" s="9">
        <f>STDEV($G$37:$G$44)</f>
        <v>1.3562026818605375</v>
      </c>
      <c r="J46" s="9">
        <f>STDEV($J$37:$J$44)</f>
        <v>8.8922116805341833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6">
        <v>3</v>
      </c>
      <c r="B97" s="38">
        <v>5546000002</v>
      </c>
      <c r="C97" s="39" t="s">
        <v>80</v>
      </c>
      <c r="D97" s="8">
        <f>ROUND(SUM(E8,H8,K8,N8,Q8,E22,H22,K22,N22,Q22,E37,H37,K37,N37,Q37,E52,H52,K52,N52,Q52,E67,H67,K67,N67,Q67,E82,H82,K82,N82,Q82),2)</f>
        <v>87.47</v>
      </c>
      <c r="E97" s="8">
        <f>ROUND(SUM(F8,I8,L8,O8,R8,F22,I22,L22,O22,R22,F37,I37,L37,O37,R37,F52,I52,L52,O52,R52,F67,I67,L67,O67,R67,F82,I82,L82,O82,R82),2)</f>
        <v>438.86</v>
      </c>
      <c r="F97" s="7" t="str">
        <f>IF($I$100="-","-",IF(E97&gt;=$I$97,$K$97,IF(E97&gt;=$I$98,$K$98,IF(E97&gt;=$I$99,$K$99,IF(E97&gt;=$I$100,$K$100,IF(E97&gt;=$I$101,$K$101,IF(E97&gt;=$I$102,$K$102,IF(E97&gt;=$I$103,$K$103,IF(E97&gt;=$I$104,$K$104)))))))))</f>
        <v>-</v>
      </c>
      <c r="G97" s="7" t="str">
        <f>IF($O$100="-","-",IF(E97&gt;=$N$97,$Q$97,IF(E97&gt;=$N$98,$Q$98,IF(E97&gt;=$N$99,$Q$99,IF(E97&gt;=$N$100,$Q$100,IF(E97&gt;=$N$101,$Q$101,IF(E97&gt;=$N$102,$Q$102,IF(E97&lt;=$P$103,$Q$103))))))))</f>
        <v>C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 t="str">
        <f>IF(F97="-","-",COUNTIF($F$97:$F$104,K97))</f>
        <v>-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>
        <f>IF(G97="-","-",COUNTIF($G$97:$G$104,Q97))</f>
        <v>0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6">
        <v>13</v>
      </c>
      <c r="B98" s="38">
        <v>5546000012</v>
      </c>
      <c r="C98" s="39" t="s">
        <v>81</v>
      </c>
      <c r="D98" s="8">
        <f t="shared" ref="D98:E104" si="27">ROUND(SUM(E9,H9,K9,N9,Q9,E23,H23,K23,N23,Q23,E38,H38,K38,N38,Q38,E53,H53,K53,N53,Q53,E68,H68,K68,N68,Q68,E83,H83,K83,N83,Q83),2)</f>
        <v>86.9</v>
      </c>
      <c r="E98" s="8">
        <f t="shared" si="27"/>
        <v>433.06</v>
      </c>
      <c r="F98" s="7" t="str">
        <f t="shared" ref="F98:F104" si="28">IF($I$100="-","-",IF(E98&gt;=$I$97,$K$97,IF(E98&gt;=$I$98,$K$98,IF(E98&gt;=$I$99,$K$99,IF(E98&gt;=$I$100,$K$100,IF(E98&gt;=$I$101,$K$101,IF(E98&gt;=$I$102,$K$102,IF(E98&gt;=$I$103,$K$103,IF(E98&gt;=$I$104,$K$104)))))))))</f>
        <v>-</v>
      </c>
      <c r="G98" s="7" t="str">
        <f t="shared" ref="G98:G104" si="29">IF($O$100="-","-",IF(E98&gt;=$N$97,$Q$97,IF(E98&gt;=$N$98,$Q$98,IF(E98&gt;=$N$99,$Q$99,IF(E98&gt;=$N$100,$Q$100,IF(E98&gt;=$N$101,$Q$101,IF(E98&gt;=$N$102,$Q$102,IF(E98&lt;=$P$103,$Q$103))))))))</f>
        <v>C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 t="str">
        <f t="shared" ref="L98:L104" si="30">IF(F98="-","-",COUNTIF($F$97:$F$104,K98))</f>
        <v>-</v>
      </c>
      <c r="M98" s="20">
        <f t="shared" ref="M98:M104" si="31">IF($O$100="-",J98-I98,P98-N98)</f>
        <v>33.809999999999945</v>
      </c>
      <c r="N98" s="8">
        <f>IF(OR($E$110=5,$E$110=7),$P$99+0.01,"-")</f>
        <v>550.7349999999999</v>
      </c>
      <c r="O98" s="13"/>
      <c r="P98" s="8">
        <f>IF(OR($E$110=5,$E$110=7),$N$98+$E$111,"-")</f>
        <v>584.54499999999985</v>
      </c>
      <c r="Q98" s="7" t="str">
        <f>IF($E$110=7,$T$94,IF($E$110=5,$T$93,"-"))</f>
        <v>A</v>
      </c>
      <c r="R98" s="7">
        <f t="shared" ref="R98:R103" si="32">IF(G98="-","-",COUNTIF($G$97:$G$104,Q98))</f>
        <v>3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23</v>
      </c>
      <c r="B99" s="38">
        <v>5546000022</v>
      </c>
      <c r="C99" s="39" t="s">
        <v>82</v>
      </c>
      <c r="D99" s="8">
        <f t="shared" si="27"/>
        <v>93.7</v>
      </c>
      <c r="E99" s="8">
        <f t="shared" si="27"/>
        <v>584.17999999999995</v>
      </c>
      <c r="F99" s="7" t="str">
        <f t="shared" si="28"/>
        <v>-</v>
      </c>
      <c r="G99" s="7" t="str">
        <f t="shared" si="29"/>
        <v>A</v>
      </c>
      <c r="I99" s="6" t="str">
        <f>IF(OR($E$110=8,$E$110=6,$E$110=4),$J$100+0.01,"-")</f>
        <v>-</v>
      </c>
      <c r="J99" s="6" t="str">
        <f>IF(OR($E$110=8,$E$110=6,$E$110=4),$I$99+$E$111,"-")</f>
        <v>-</v>
      </c>
      <c r="K99" s="7" t="str">
        <f>IF($E$110=8,$T$95,IF($E$110=6,$T$94,IF($E$110=4,$T$93,"-")))</f>
        <v>-</v>
      </c>
      <c r="L99" s="7" t="str">
        <f t="shared" si="30"/>
        <v>-</v>
      </c>
      <c r="M99" s="20">
        <f t="shared" si="31"/>
        <v>33.809999999999945</v>
      </c>
      <c r="N99" s="8">
        <f>IF(OR($E$110=3,$E$110=5,$E$110=7),$P$100+0.01,"-")</f>
        <v>516.91499999999996</v>
      </c>
      <c r="O99" s="13"/>
      <c r="P99" s="8">
        <f>IF(OR($E$110=3,$E$110=5,$E$110=7),$N$99+$E$111,"-")</f>
        <v>550.72499999999991</v>
      </c>
      <c r="Q99" s="7" t="str">
        <f>IF($E$110=7,$T$95,IF($E$110=5,$T$94,IF($E$110=3,$T$93,"-")))</f>
        <v>B+</v>
      </c>
      <c r="R99" s="7">
        <f t="shared" si="32"/>
        <v>0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33</v>
      </c>
      <c r="B100" s="38">
        <v>5546000032</v>
      </c>
      <c r="C100" s="39" t="s">
        <v>83</v>
      </c>
      <c r="D100" s="8">
        <f t="shared" si="27"/>
        <v>88.27</v>
      </c>
      <c r="E100" s="8">
        <f t="shared" si="27"/>
        <v>438.37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-</v>
      </c>
      <c r="G100" s="7" t="str">
        <f t="shared" si="29"/>
        <v>C</v>
      </c>
      <c r="I100" s="31" t="str">
        <f>IF(OR($E$110=2,$E$110=4,$E$110=6,$E$110=8),$E$106,"-")</f>
        <v>-</v>
      </c>
      <c r="J100" s="8" t="str">
        <f>IF(OR($E$110=2,$E$110=4,$E$110=6,$E$110=8),$E$106+$E$111,"-")</f>
        <v>-</v>
      </c>
      <c r="K100" s="7" t="str">
        <f>IF($E$110=8,$T$96,IF($E$110=6,$T$95,IF($E$110=4,$T$94,IF($E$110=2,$T$93,"-"))))</f>
        <v>-</v>
      </c>
      <c r="L100" s="7" t="str">
        <f t="shared" si="30"/>
        <v>-</v>
      </c>
      <c r="M100" s="20">
        <f t="shared" si="31"/>
        <v>33.809999999999945</v>
      </c>
      <c r="N100" s="8">
        <f>IF(OR($E$110=1,$E$110=3,$E$110=5,$E$110=7),$E$106-($E$111/2),"-")</f>
        <v>483.09500000000003</v>
      </c>
      <c r="O100" s="31">
        <f>IF(OR($E$110=1,$E$110=3,$E$110=5,$E$110=7),$E$106,"-")</f>
        <v>500</v>
      </c>
      <c r="P100" s="8">
        <f>IF(OR($E$110=1,$E$110=3,$E$110=5,$E$110=7),$E$106+($E$111/2),"-")</f>
        <v>516.90499999999997</v>
      </c>
      <c r="Q100" s="7" t="str">
        <f>IF($E$110=7,$T$96,IF($E$110=5,$T$95,IF($E$110=3,$T$94,IF($E$110=1,$T$93,"-"))))</f>
        <v>B</v>
      </c>
      <c r="R100" s="7">
        <f t="shared" si="32"/>
        <v>0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43</v>
      </c>
      <c r="B101" s="38">
        <v>5546000042</v>
      </c>
      <c r="C101" s="39" t="s">
        <v>84</v>
      </c>
      <c r="D101" s="8">
        <f t="shared" si="27"/>
        <v>88.17</v>
      </c>
      <c r="E101" s="8">
        <f t="shared" si="27"/>
        <v>462.11</v>
      </c>
      <c r="F101" s="7" t="str">
        <f t="shared" si="28"/>
        <v>-</v>
      </c>
      <c r="G101" s="7" t="str">
        <f t="shared" si="29"/>
        <v>C+</v>
      </c>
      <c r="I101" s="6" t="str">
        <f>IF(OR($E$110=2,$E$110=4,$E$110=6,$E$110=8),$J$101-$E$111,"-")</f>
        <v>-</v>
      </c>
      <c r="J101" s="8" t="str">
        <f>IF(OR($E$110=2,$E$110=4,$E$110=6,$E$110=8),$I$100-0.01,"-")</f>
        <v>-</v>
      </c>
      <c r="K101" s="7" t="str">
        <f>IF($E$110=8,$T$97,IF($E$110=6,$T$96,IF($E$110=4,$T$95,IF($E$110=2,$T$94,"-"))))</f>
        <v>-</v>
      </c>
      <c r="L101" s="7" t="str">
        <f t="shared" si="30"/>
        <v>-</v>
      </c>
      <c r="M101" s="20">
        <f t="shared" si="31"/>
        <v>33.81</v>
      </c>
      <c r="N101" s="8">
        <f>IF(OR($E$110=3,$E$110=5,$E$110=7),$P$101-$E$111,"-")</f>
        <v>449.27500000000003</v>
      </c>
      <c r="O101" s="13"/>
      <c r="P101" s="8">
        <f>IF(OR($E$110=3,$E$110=5,$E$110=7),$N$100-0.01,"-")</f>
        <v>483.08500000000004</v>
      </c>
      <c r="Q101" s="7" t="str">
        <f>IF($E$110=7,$T$97,IF($E$110=5,$T$96,IF($E$110=3,$T$95,"-")))</f>
        <v>C+</v>
      </c>
      <c r="R101" s="7">
        <f t="shared" si="32"/>
        <v>2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53</v>
      </c>
      <c r="B102" s="38">
        <v>5546000052</v>
      </c>
      <c r="C102" s="39" t="s">
        <v>85</v>
      </c>
      <c r="D102" s="8">
        <f t="shared" si="27"/>
        <v>89.94</v>
      </c>
      <c r="E102" s="8">
        <f t="shared" si="27"/>
        <v>470.41</v>
      </c>
      <c r="F102" s="7" t="str">
        <f t="shared" si="28"/>
        <v>-</v>
      </c>
      <c r="G102" s="7" t="str">
        <f t="shared" si="29"/>
        <v>C+</v>
      </c>
      <c r="I102" s="47" t="str">
        <f>IF(OR($E$110=4,$E$110=6,$E$110=8),$J$102-$E$111,"-")</f>
        <v>-</v>
      </c>
      <c r="J102" s="6" t="str">
        <f>IF(OR($E$110=8,$E$110=6,$E$110=4),$I$101-0.01,"-")</f>
        <v>-</v>
      </c>
      <c r="K102" s="7" t="str">
        <f>IF($E$110=8,$T$98,IF($E$110=6,$T$97,IF($E$110=4,$T$96,"-")))</f>
        <v>-</v>
      </c>
      <c r="L102" s="7" t="str">
        <f t="shared" si="30"/>
        <v>-</v>
      </c>
      <c r="M102" s="20">
        <f t="shared" si="31"/>
        <v>33.81</v>
      </c>
      <c r="N102" s="8">
        <f>IF(OR($E$110=5,$E$110=7),$P$102-$E$111,"-")</f>
        <v>415.45500000000004</v>
      </c>
      <c r="O102" s="13"/>
      <c r="P102" s="8">
        <f>IF(OR($E$110=5,$E$110=7),$N$101-0.01,"-")</f>
        <v>449.26500000000004</v>
      </c>
      <c r="Q102" s="7" t="str">
        <f>IF($E$110=7,$T$98,IF($E$110=5,$T$97,"-"))</f>
        <v>C</v>
      </c>
      <c r="R102" s="7">
        <f t="shared" si="32"/>
        <v>3</v>
      </c>
    </row>
    <row r="103" spans="1:20" ht="23" thickBot="1" x14ac:dyDescent="0.4">
      <c r="A103" s="6">
        <v>63</v>
      </c>
      <c r="B103" s="38">
        <v>5546000062</v>
      </c>
      <c r="C103" s="39" t="s">
        <v>86</v>
      </c>
      <c r="D103" s="8">
        <f t="shared" si="27"/>
        <v>93.72</v>
      </c>
      <c r="E103" s="8">
        <f t="shared" si="27"/>
        <v>570.9</v>
      </c>
      <c r="F103" s="7" t="str">
        <f t="shared" si="28"/>
        <v>-</v>
      </c>
      <c r="G103" s="7" t="str">
        <f t="shared" si="29"/>
        <v>A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 t="str">
        <f t="shared" si="30"/>
        <v>-</v>
      </c>
      <c r="M103" s="20" t="e">
        <f t="shared" si="31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>
        <f t="shared" si="32"/>
        <v>0</v>
      </c>
    </row>
    <row r="104" spans="1:20" ht="23" thickBot="1" x14ac:dyDescent="0.4">
      <c r="A104" s="6">
        <v>73</v>
      </c>
      <c r="B104" s="38">
        <v>5546000072</v>
      </c>
      <c r="C104" s="39" t="s">
        <v>87</v>
      </c>
      <c r="D104" s="8">
        <f t="shared" si="27"/>
        <v>95.08</v>
      </c>
      <c r="E104" s="8">
        <f t="shared" si="27"/>
        <v>602.1</v>
      </c>
      <c r="F104" s="7" t="str">
        <f t="shared" si="28"/>
        <v>-</v>
      </c>
      <c r="G104" s="7" t="str">
        <f t="shared" si="29"/>
        <v>A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 t="str">
        <f t="shared" si="30"/>
        <v>-</v>
      </c>
      <c r="M104" s="20" t="e">
        <f t="shared" si="31"/>
        <v>#VALUE!</v>
      </c>
      <c r="N104" s="218" t="s">
        <v>1</v>
      </c>
      <c r="O104" s="219"/>
      <c r="P104" s="219"/>
      <c r="Q104" s="220"/>
      <c r="R104" s="33">
        <f>SUM($R$97:$R$103)</f>
        <v>8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>
        <f>SUM($L$97:$L$104)</f>
        <v>0</v>
      </c>
    </row>
    <row r="106" spans="1:20" x14ac:dyDescent="0.35">
      <c r="C106" s="4" t="s">
        <v>13</v>
      </c>
      <c r="D106" s="37">
        <f>ROUND(AVERAGE($D$97:$D$104),2)</f>
        <v>90.41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95.08</v>
      </c>
      <c r="E107" s="37">
        <f>ROUND(MAX($E$97:$E$104),2)</f>
        <v>602.1</v>
      </c>
      <c r="I107" s="45"/>
      <c r="J107" s="45"/>
    </row>
    <row r="108" spans="1:20" x14ac:dyDescent="0.35">
      <c r="C108" s="4" t="s">
        <v>19</v>
      </c>
      <c r="D108" s="37">
        <f>ROUND(MIN($D$97:$D$104),2)</f>
        <v>86.9</v>
      </c>
      <c r="E108" s="37">
        <f>ROUND(MIN($E$97:$E$104),2)</f>
        <v>433.06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169.04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5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33.81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D33:F33"/>
    <mergeCell ref="A34:A36"/>
    <mergeCell ref="B34:B36"/>
    <mergeCell ref="C34:C36"/>
    <mergeCell ref="D34:F34"/>
    <mergeCell ref="G34:I34"/>
    <mergeCell ref="J34:L34"/>
    <mergeCell ref="M34:O34"/>
    <mergeCell ref="P34:R34"/>
    <mergeCell ref="M49:O49"/>
    <mergeCell ref="P49:R4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N104:Q104"/>
    <mergeCell ref="I105:K105"/>
    <mergeCell ref="N111:R111"/>
    <mergeCell ref="N112:R112"/>
    <mergeCell ref="N113:R113"/>
  </mergeCells>
  <pageMargins left="0.70866141732283472" right="0.70866141732283472" top="0.31496062992125984" bottom="0.19685039370078741" header="0.31496062992125984" footer="0.19685039370078741"/>
  <pageSetup paperSize="9" scale="79" orientation="landscape" verticalDpi="300" r:id="rId1"/>
  <rowBreaks count="3" manualBreakCount="3">
    <brk id="32" max="16383" man="1"/>
    <brk id="62" max="17" man="1"/>
    <brk id="9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V116"/>
  <sheetViews>
    <sheetView view="pageBreakPreview" topLeftCell="A49" zoomScale="90" zoomScaleNormal="90" zoomScaleSheetLayoutView="90" workbookViewId="0">
      <selection activeCell="C100" sqref="C100:G108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100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1</v>
      </c>
      <c r="B8" s="38">
        <v>5346000035</v>
      </c>
      <c r="C8" s="39" t="s">
        <v>90</v>
      </c>
      <c r="D8" s="12">
        <v>62</v>
      </c>
      <c r="E8" s="8">
        <f>(D8*$E$7)/$D$7</f>
        <v>16.533333333333335</v>
      </c>
      <c r="F8" s="3">
        <f t="shared" ref="F8:F16" si="0">IF($D$18=0,50,(50+(10*(STANDARDIZE(D8,$D$17,$D$18)))))*$F$7</f>
        <v>67.362730929024522</v>
      </c>
      <c r="G8" s="12">
        <v>25</v>
      </c>
      <c r="H8" s="8">
        <f>(G8*$H$7)/$G$7</f>
        <v>8.3333333333333339</v>
      </c>
      <c r="I8" s="3">
        <f t="shared" ref="I8:I16" si="1">IF($G$18=0,50,(50+(10*(STANDARDIZE(G8,$G$17,$G$18)))))*$I$7</f>
        <v>29.644732436965509</v>
      </c>
      <c r="J8" s="12">
        <v>42</v>
      </c>
      <c r="K8" s="8">
        <f>(J8*$K$7)/$J$7</f>
        <v>4.2</v>
      </c>
      <c r="L8" s="3">
        <f t="shared" ref="L8:L16" si="2">IF($J$18=0,50,(50+(10*(STANDARDIZE(J8,$J$17,$J$18)))))*$L$7</f>
        <v>19.179747535253512</v>
      </c>
      <c r="M8" s="12">
        <v>70</v>
      </c>
      <c r="N8" s="8">
        <f>(M8*$N$7)/$M$7</f>
        <v>7</v>
      </c>
      <c r="O8" s="3">
        <f t="shared" ref="O8:O16" si="3">IF($M$18=0,50,(50+(10*(STANDARDIZE(M8,$M$17,$M$18)))))*$O$7</f>
        <v>27.650720011506458</v>
      </c>
      <c r="P8" s="12">
        <v>43</v>
      </c>
      <c r="Q8" s="8">
        <f>(P8*$Q$7)/$P$7</f>
        <v>8.6</v>
      </c>
      <c r="R8" s="3">
        <f t="shared" ref="R8:R16" si="4">IF($P$18=0,50,(50+(10*(STANDARDIZE(P8,$P$17,$P$18)))))*$R$7</f>
        <v>35.333333333333343</v>
      </c>
    </row>
    <row r="9" spans="1:22" ht="22" x14ac:dyDescent="0.35">
      <c r="A9" s="6">
        <v>11</v>
      </c>
      <c r="B9" s="38">
        <v>5546000010</v>
      </c>
      <c r="C9" s="39" t="s">
        <v>91</v>
      </c>
      <c r="D9" s="12">
        <v>65</v>
      </c>
      <c r="E9" s="8">
        <f t="shared" ref="E9:E16" si="5">(D9*$E$7)/$D$7</f>
        <v>17.333333333333332</v>
      </c>
      <c r="F9" s="3">
        <f t="shared" si="0"/>
        <v>90.552369479454427</v>
      </c>
      <c r="G9" s="12">
        <v>27</v>
      </c>
      <c r="H9" s="8">
        <f t="shared" ref="H9:H16" si="6">(G9*$H$7)/$G$7</f>
        <v>9</v>
      </c>
      <c r="I9" s="3">
        <f t="shared" si="1"/>
        <v>51.197368680178492</v>
      </c>
      <c r="J9" s="12">
        <v>43</v>
      </c>
      <c r="K9" s="8">
        <f t="shared" ref="K9:K16" si="7">(J9*$K$7)/$J$7</f>
        <v>4.3</v>
      </c>
      <c r="L9" s="3">
        <f t="shared" si="2"/>
        <v>21.275038422562247</v>
      </c>
      <c r="M9" s="12">
        <v>80</v>
      </c>
      <c r="N9" s="8">
        <f t="shared" ref="N9:N16" si="8">(M9*$N$7)/$M$7</f>
        <v>8</v>
      </c>
      <c r="O9" s="3">
        <f t="shared" si="3"/>
        <v>46.807245715929483</v>
      </c>
      <c r="P9" s="12">
        <v>44</v>
      </c>
      <c r="Q9" s="8">
        <f t="shared" ref="Q9:Q16" si="9">(P9*$Q$7)/$P$7</f>
        <v>8.8000000000000007</v>
      </c>
      <c r="R9" s="3">
        <f t="shared" si="4"/>
        <v>47.333333333333343</v>
      </c>
      <c r="V9" s="1" t="s">
        <v>2</v>
      </c>
    </row>
    <row r="10" spans="1:22" ht="22" x14ac:dyDescent="0.35">
      <c r="A10" s="6">
        <v>21</v>
      </c>
      <c r="B10" s="38">
        <v>5546000020</v>
      </c>
      <c r="C10" s="39" t="s">
        <v>92</v>
      </c>
      <c r="D10" s="12">
        <v>65</v>
      </c>
      <c r="E10" s="8">
        <f t="shared" si="5"/>
        <v>17.333333333333332</v>
      </c>
      <c r="F10" s="3">
        <f t="shared" si="0"/>
        <v>90.552369479454427</v>
      </c>
      <c r="G10" s="12">
        <v>26</v>
      </c>
      <c r="H10" s="8">
        <f t="shared" si="6"/>
        <v>8.6666666666666661</v>
      </c>
      <c r="I10" s="3">
        <f t="shared" si="1"/>
        <v>40.421050558572006</v>
      </c>
      <c r="J10" s="12">
        <v>43</v>
      </c>
      <c r="K10" s="8">
        <f t="shared" si="7"/>
        <v>4.3</v>
      </c>
      <c r="L10" s="3">
        <f t="shared" si="2"/>
        <v>21.275038422562247</v>
      </c>
      <c r="M10" s="12">
        <v>80</v>
      </c>
      <c r="N10" s="8">
        <f t="shared" si="8"/>
        <v>8</v>
      </c>
      <c r="O10" s="3">
        <f t="shared" si="3"/>
        <v>46.807245715929483</v>
      </c>
      <c r="P10" s="12">
        <v>44</v>
      </c>
      <c r="Q10" s="8">
        <f t="shared" si="9"/>
        <v>8.8000000000000007</v>
      </c>
      <c r="R10" s="3">
        <f t="shared" si="4"/>
        <v>47.333333333333343</v>
      </c>
    </row>
    <row r="11" spans="1:22" ht="22" x14ac:dyDescent="0.35">
      <c r="A11" s="6">
        <v>31</v>
      </c>
      <c r="B11" s="38">
        <v>5546000030</v>
      </c>
      <c r="C11" s="39" t="s">
        <v>93</v>
      </c>
      <c r="D11" s="12">
        <v>65</v>
      </c>
      <c r="E11" s="8">
        <f t="shared" si="5"/>
        <v>17.333333333333332</v>
      </c>
      <c r="F11" s="3">
        <f t="shared" si="0"/>
        <v>90.552369479454427</v>
      </c>
      <c r="G11" s="12">
        <v>27</v>
      </c>
      <c r="H11" s="8">
        <f t="shared" si="6"/>
        <v>9</v>
      </c>
      <c r="I11" s="3">
        <f t="shared" si="1"/>
        <v>51.197368680178492</v>
      </c>
      <c r="J11" s="12">
        <v>42</v>
      </c>
      <c r="K11" s="8">
        <f t="shared" si="7"/>
        <v>4.2</v>
      </c>
      <c r="L11" s="3">
        <f t="shared" si="2"/>
        <v>19.179747535253512</v>
      </c>
      <c r="M11" s="12">
        <v>82</v>
      </c>
      <c r="N11" s="8">
        <f t="shared" si="8"/>
        <v>8.1999999999999993</v>
      </c>
      <c r="O11" s="3">
        <f t="shared" si="3"/>
        <v>50.638550856814092</v>
      </c>
      <c r="P11" s="12">
        <v>43</v>
      </c>
      <c r="Q11" s="8">
        <f t="shared" si="9"/>
        <v>8.6</v>
      </c>
      <c r="R11" s="3">
        <f t="shared" si="4"/>
        <v>35.333333333333343</v>
      </c>
      <c r="V11" s="1" t="s">
        <v>2</v>
      </c>
    </row>
    <row r="12" spans="1:22" ht="22" x14ac:dyDescent="0.35">
      <c r="A12" s="6">
        <v>41</v>
      </c>
      <c r="B12" s="38">
        <v>5546000040</v>
      </c>
      <c r="C12" s="39" t="s">
        <v>94</v>
      </c>
      <c r="D12" s="12">
        <v>67</v>
      </c>
      <c r="E12" s="8">
        <f t="shared" si="5"/>
        <v>17.866666666666667</v>
      </c>
      <c r="F12" s="3">
        <f t="shared" si="0"/>
        <v>106.01212851307437</v>
      </c>
      <c r="G12" s="12">
        <v>27</v>
      </c>
      <c r="H12" s="8">
        <f t="shared" si="6"/>
        <v>9</v>
      </c>
      <c r="I12" s="3">
        <f t="shared" si="1"/>
        <v>51.197368680178492</v>
      </c>
      <c r="J12" s="12">
        <v>46</v>
      </c>
      <c r="K12" s="8">
        <f t="shared" si="7"/>
        <v>4.5999999999999996</v>
      </c>
      <c r="L12" s="3">
        <f t="shared" si="2"/>
        <v>27.560911084488453</v>
      </c>
      <c r="M12" s="12">
        <v>80</v>
      </c>
      <c r="N12" s="8">
        <f t="shared" si="8"/>
        <v>8</v>
      </c>
      <c r="O12" s="3">
        <f t="shared" si="3"/>
        <v>46.807245715929483</v>
      </c>
      <c r="P12" s="12">
        <v>44</v>
      </c>
      <c r="Q12" s="8">
        <f t="shared" si="9"/>
        <v>8.8000000000000007</v>
      </c>
      <c r="R12" s="3">
        <f t="shared" si="4"/>
        <v>47.333333333333343</v>
      </c>
    </row>
    <row r="13" spans="1:22" ht="22" x14ac:dyDescent="0.35">
      <c r="A13" s="6">
        <v>51</v>
      </c>
      <c r="B13" s="38">
        <v>5546000050</v>
      </c>
      <c r="C13" s="39" t="s">
        <v>95</v>
      </c>
      <c r="D13" s="12">
        <v>70</v>
      </c>
      <c r="E13" s="8">
        <f t="shared" si="5"/>
        <v>18.666666666666668</v>
      </c>
      <c r="F13" s="3">
        <f t="shared" si="0"/>
        <v>129.20176706350429</v>
      </c>
      <c r="G13" s="12">
        <v>28</v>
      </c>
      <c r="H13" s="8">
        <f t="shared" si="6"/>
        <v>9.3333333333333339</v>
      </c>
      <c r="I13" s="3">
        <f t="shared" si="1"/>
        <v>61.973686801784993</v>
      </c>
      <c r="J13" s="12">
        <v>48</v>
      </c>
      <c r="K13" s="8">
        <f t="shared" si="7"/>
        <v>4.8</v>
      </c>
      <c r="L13" s="3">
        <f t="shared" si="2"/>
        <v>31.751492859105923</v>
      </c>
      <c r="M13" s="12">
        <v>85</v>
      </c>
      <c r="N13" s="8">
        <f t="shared" si="8"/>
        <v>8.5</v>
      </c>
      <c r="O13" s="3">
        <f t="shared" si="3"/>
        <v>56.385508568140999</v>
      </c>
      <c r="P13" s="12">
        <v>45</v>
      </c>
      <c r="Q13" s="8">
        <f t="shared" si="9"/>
        <v>9</v>
      </c>
      <c r="R13" s="3">
        <f t="shared" si="4"/>
        <v>59.333333333333343</v>
      </c>
    </row>
    <row r="14" spans="1:22" ht="22" x14ac:dyDescent="0.35">
      <c r="A14" s="6">
        <v>61</v>
      </c>
      <c r="B14" s="38">
        <v>5546000060</v>
      </c>
      <c r="C14" s="39" t="s">
        <v>96</v>
      </c>
      <c r="D14" s="12">
        <v>70</v>
      </c>
      <c r="E14" s="8">
        <f t="shared" si="5"/>
        <v>18.666666666666668</v>
      </c>
      <c r="F14" s="3">
        <f t="shared" si="0"/>
        <v>129.20176706350429</v>
      </c>
      <c r="G14" s="12">
        <v>28</v>
      </c>
      <c r="H14" s="8">
        <f t="shared" si="6"/>
        <v>9.3333333333333339</v>
      </c>
      <c r="I14" s="3">
        <f t="shared" si="1"/>
        <v>61.973686801784993</v>
      </c>
      <c r="J14" s="12">
        <v>48</v>
      </c>
      <c r="K14" s="8">
        <f t="shared" si="7"/>
        <v>4.8</v>
      </c>
      <c r="L14" s="3">
        <f t="shared" si="2"/>
        <v>31.751492859105923</v>
      </c>
      <c r="M14" s="12">
        <v>88</v>
      </c>
      <c r="N14" s="8">
        <f t="shared" si="8"/>
        <v>8.8000000000000007</v>
      </c>
      <c r="O14" s="3">
        <f t="shared" si="3"/>
        <v>62.132466279467906</v>
      </c>
      <c r="P14" s="12">
        <v>45</v>
      </c>
      <c r="Q14" s="8">
        <f t="shared" si="9"/>
        <v>9</v>
      </c>
      <c r="R14" s="3">
        <f t="shared" si="4"/>
        <v>59.333333333333343</v>
      </c>
    </row>
    <row r="15" spans="1:22" ht="22" x14ac:dyDescent="0.35">
      <c r="A15" s="6">
        <v>71</v>
      </c>
      <c r="B15" s="38">
        <v>5546000070</v>
      </c>
      <c r="C15" s="39" t="s">
        <v>97</v>
      </c>
      <c r="D15" s="12">
        <v>65</v>
      </c>
      <c r="E15" s="8">
        <f t="shared" ref="E15" si="10">(D15*$E$7)/$D$7</f>
        <v>17.333333333333332</v>
      </c>
      <c r="F15" s="3">
        <f t="shared" si="0"/>
        <v>90.552369479454427</v>
      </c>
      <c r="G15" s="12">
        <v>27</v>
      </c>
      <c r="H15" s="8">
        <f t="shared" ref="H15" si="11">(G15*$H$7)/$G$7</f>
        <v>9</v>
      </c>
      <c r="I15" s="3">
        <f t="shared" si="1"/>
        <v>51.197368680178492</v>
      </c>
      <c r="J15" s="12">
        <v>46</v>
      </c>
      <c r="K15" s="8">
        <f t="shared" ref="K15" si="12">(J15*$K$7)/$J$7</f>
        <v>4.5999999999999996</v>
      </c>
      <c r="L15" s="3">
        <f t="shared" si="2"/>
        <v>27.560911084488453</v>
      </c>
      <c r="M15" s="12">
        <v>85</v>
      </c>
      <c r="N15" s="8">
        <f t="shared" ref="N15" si="13">(M15*$N$7)/$M$7</f>
        <v>8.5</v>
      </c>
      <c r="O15" s="3">
        <f t="shared" si="3"/>
        <v>56.385508568140999</v>
      </c>
      <c r="P15" s="12">
        <v>45</v>
      </c>
      <c r="Q15" s="8">
        <f t="shared" ref="Q15" si="14">(P15*$Q$7)/$P$7</f>
        <v>9</v>
      </c>
      <c r="R15" s="3">
        <f t="shared" si="4"/>
        <v>59.333333333333343</v>
      </c>
    </row>
    <row r="16" spans="1:22" ht="22" x14ac:dyDescent="0.35">
      <c r="A16" s="6">
        <v>81</v>
      </c>
      <c r="B16" s="38">
        <v>5546000080</v>
      </c>
      <c r="C16" s="39" t="s">
        <v>98</v>
      </c>
      <c r="D16" s="12">
        <v>67</v>
      </c>
      <c r="E16" s="8">
        <f t="shared" si="5"/>
        <v>17.866666666666667</v>
      </c>
      <c r="F16" s="3">
        <f t="shared" si="0"/>
        <v>106.01212851307437</v>
      </c>
      <c r="G16" s="12">
        <v>27</v>
      </c>
      <c r="H16" s="8">
        <f t="shared" si="6"/>
        <v>9</v>
      </c>
      <c r="I16" s="3">
        <f t="shared" si="1"/>
        <v>51.197368680178492</v>
      </c>
      <c r="J16" s="12">
        <v>45</v>
      </c>
      <c r="K16" s="8">
        <f t="shared" si="7"/>
        <v>4.5</v>
      </c>
      <c r="L16" s="3">
        <f t="shared" si="2"/>
        <v>25.465620197179717</v>
      </c>
      <c r="M16" s="12">
        <v>85</v>
      </c>
      <c r="N16" s="8">
        <f t="shared" si="8"/>
        <v>8.5</v>
      </c>
      <c r="O16" s="3">
        <f t="shared" si="3"/>
        <v>56.385508568140999</v>
      </c>
      <c r="P16" s="12">
        <v>45</v>
      </c>
      <c r="Q16" s="8">
        <f t="shared" si="9"/>
        <v>9</v>
      </c>
      <c r="R16" s="3">
        <f t="shared" si="4"/>
        <v>59.333333333333343</v>
      </c>
    </row>
    <row r="17" spans="1:19" ht="18" customHeight="1" x14ac:dyDescent="0.35">
      <c r="C17" s="42" t="s">
        <v>13</v>
      </c>
      <c r="D17" s="9">
        <f>AVERAGE($D$8:$D$16)</f>
        <v>66.222222222222229</v>
      </c>
      <c r="E17" s="2"/>
      <c r="F17" s="2"/>
      <c r="G17" s="9">
        <f>AVERAGE($G$8:$G$16)</f>
        <v>26.888888888888889</v>
      </c>
      <c r="J17" s="9">
        <f>AVERAGE($J$8:$J$16)</f>
        <v>44.777777777777779</v>
      </c>
      <c r="M17" s="9">
        <f>AVERAGE($M$8:$M$16)</f>
        <v>81.666666666666671</v>
      </c>
      <c r="P17" s="9">
        <f>AVERAGE($P$8:$P$16)</f>
        <v>44.222222222222221</v>
      </c>
    </row>
    <row r="18" spans="1:19" ht="18" customHeight="1" x14ac:dyDescent="0.35">
      <c r="C18" s="42" t="s">
        <v>14</v>
      </c>
      <c r="D18" s="9">
        <f>STDEV($D$8:$D$16)</f>
        <v>2.5873624493766707</v>
      </c>
      <c r="E18" s="2"/>
      <c r="F18" s="2"/>
      <c r="G18" s="9">
        <f>STDEV($G$8:$G$16)</f>
        <v>0.9279607271383371</v>
      </c>
      <c r="J18" s="9">
        <f>STDEV($J$8:$J$16)</f>
        <v>2.3863035105460586</v>
      </c>
      <c r="M18" s="9">
        <f>STDEV(M8:M16)</f>
        <v>5.2201532544552753</v>
      </c>
      <c r="P18" s="9">
        <f>STDEV(P8:P16)</f>
        <v>0.83333333333333326</v>
      </c>
    </row>
    <row r="19" spans="1:19" ht="18" customHeight="1" x14ac:dyDescent="0.35">
      <c r="C19" s="42"/>
      <c r="D19" s="206" t="s">
        <v>89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19" ht="18" customHeight="1" x14ac:dyDescent="0.35">
      <c r="A20" s="204" t="s">
        <v>76</v>
      </c>
      <c r="B20" s="204" t="s">
        <v>12</v>
      </c>
      <c r="C20" s="204" t="s">
        <v>0</v>
      </c>
      <c r="D20" s="207" t="s">
        <v>60</v>
      </c>
      <c r="E20" s="207"/>
      <c r="F20" s="207"/>
      <c r="G20" s="207" t="s">
        <v>61</v>
      </c>
      <c r="H20" s="207"/>
      <c r="I20" s="207"/>
      <c r="J20" s="207" t="s">
        <v>62</v>
      </c>
      <c r="K20" s="207"/>
      <c r="L20" s="207"/>
      <c r="M20" s="207" t="s">
        <v>63</v>
      </c>
      <c r="N20" s="207"/>
      <c r="O20" s="207"/>
      <c r="P20" s="207" t="s">
        <v>64</v>
      </c>
      <c r="Q20" s="207"/>
      <c r="R20" s="207"/>
    </row>
    <row r="21" spans="1:19" x14ac:dyDescent="0.35">
      <c r="A21" s="204"/>
      <c r="B21" s="204"/>
      <c r="C21" s="204"/>
      <c r="D21" s="44" t="s">
        <v>17</v>
      </c>
      <c r="E21" s="44" t="s">
        <v>6</v>
      </c>
      <c r="F21" s="44" t="s">
        <v>3</v>
      </c>
      <c r="G21" s="44" t="s">
        <v>17</v>
      </c>
      <c r="H21" s="44" t="s">
        <v>6</v>
      </c>
      <c r="I21" s="44" t="s">
        <v>3</v>
      </c>
      <c r="J21" s="44" t="s">
        <v>17</v>
      </c>
      <c r="K21" s="44" t="s">
        <v>6</v>
      </c>
      <c r="L21" s="44" t="s">
        <v>3</v>
      </c>
      <c r="M21" s="44" t="s">
        <v>17</v>
      </c>
      <c r="N21" s="44" t="s">
        <v>6</v>
      </c>
      <c r="O21" s="44" t="s">
        <v>3</v>
      </c>
      <c r="P21" s="44" t="s">
        <v>17</v>
      </c>
      <c r="Q21" s="44" t="s">
        <v>6</v>
      </c>
      <c r="R21" s="44" t="s">
        <v>3</v>
      </c>
      <c r="S21" s="1" t="s">
        <v>2</v>
      </c>
    </row>
    <row r="22" spans="1:19" x14ac:dyDescent="0.35">
      <c r="A22" s="204"/>
      <c r="B22" s="204"/>
      <c r="C22" s="204"/>
      <c r="D22" s="14">
        <v>50</v>
      </c>
      <c r="E22" s="14">
        <v>5</v>
      </c>
      <c r="F22" s="34">
        <f>$E$22/10</f>
        <v>0.5</v>
      </c>
      <c r="G22" s="14">
        <v>40</v>
      </c>
      <c r="H22" s="14">
        <v>5</v>
      </c>
      <c r="I22" s="34">
        <f>$H$22/10</f>
        <v>0.5</v>
      </c>
      <c r="J22" s="14">
        <v>50</v>
      </c>
      <c r="K22" s="14">
        <v>5</v>
      </c>
      <c r="L22" s="34">
        <f>$K$22/10</f>
        <v>0.5</v>
      </c>
      <c r="M22" s="14">
        <v>40</v>
      </c>
      <c r="N22" s="14">
        <v>5</v>
      </c>
      <c r="O22" s="35">
        <f>$N$22/10</f>
        <v>0.5</v>
      </c>
      <c r="P22" s="14">
        <v>70</v>
      </c>
      <c r="Q22" s="14">
        <v>10</v>
      </c>
      <c r="R22" s="35">
        <f>$Q$22/10</f>
        <v>1</v>
      </c>
    </row>
    <row r="23" spans="1:19" ht="22" x14ac:dyDescent="0.35">
      <c r="A23" s="6">
        <v>1</v>
      </c>
      <c r="B23" s="38">
        <v>5346000035</v>
      </c>
      <c r="C23" s="39" t="s">
        <v>90</v>
      </c>
      <c r="D23" s="12">
        <v>45</v>
      </c>
      <c r="E23" s="8">
        <f>(D23*$E$22)/$D$22</f>
        <v>4.5</v>
      </c>
      <c r="F23" s="3">
        <f t="shared" ref="F23:F31" si="15">IF($D$33=0,50,(50+(10*(STANDARDIZE(D23,$D$32,$D$33)))))*$F$22</f>
        <v>25</v>
      </c>
      <c r="G23" s="12">
        <v>30</v>
      </c>
      <c r="H23" s="8">
        <f>(G23*$H$22)/$G$22</f>
        <v>3.75</v>
      </c>
      <c r="I23" s="3">
        <f t="shared" ref="I23:I31" si="16">IF($G$33=0,50,(50+(10*(STANDARDIZE(G23,$G$32,$G$33)))))*$I$22</f>
        <v>25</v>
      </c>
      <c r="J23" s="12">
        <v>45</v>
      </c>
      <c r="K23" s="8">
        <f>(J23*$K$22)/$J$22</f>
        <v>4.5</v>
      </c>
      <c r="L23" s="3">
        <f t="shared" ref="L23:L31" si="17">IF($J$33=0,50,(50+(10*(STANDARDIZE(J23,$J$32,$J$33)))))*$L$22</f>
        <v>25</v>
      </c>
      <c r="M23" s="12">
        <v>30</v>
      </c>
      <c r="N23" s="8">
        <f>(M23*$N$22)/$M$22</f>
        <v>3.75</v>
      </c>
      <c r="O23" s="3">
        <f t="shared" ref="O23:O31" si="18">IF($M$33=0,50,(50+(10*(STANDARDIZE(M23,$M$32,$M$33)))))*$O$22</f>
        <v>25</v>
      </c>
      <c r="P23" s="12">
        <v>62</v>
      </c>
      <c r="Q23" s="8">
        <f>(P23*$Q$22)/$P$22</f>
        <v>8.8571428571428577</v>
      </c>
      <c r="R23" s="3">
        <f t="shared" ref="R23:R31" si="19">IF($P$33=0,50,(50+(10*(STANDARDIZE(P23,$P$32,$P$33)))))*$R$22</f>
        <v>37.999062390122404</v>
      </c>
    </row>
    <row r="24" spans="1:19" ht="22" x14ac:dyDescent="0.35">
      <c r="A24" s="6">
        <v>11</v>
      </c>
      <c r="B24" s="38">
        <v>5546000010</v>
      </c>
      <c r="C24" s="39" t="s">
        <v>91</v>
      </c>
      <c r="D24" s="12">
        <v>45</v>
      </c>
      <c r="E24" s="8">
        <f t="shared" ref="E24:E31" si="20">(D24*$E$22)/$D$22</f>
        <v>4.5</v>
      </c>
      <c r="F24" s="3">
        <f t="shared" si="15"/>
        <v>25</v>
      </c>
      <c r="G24" s="12">
        <v>30</v>
      </c>
      <c r="H24" s="8">
        <f t="shared" ref="H24:H31" si="21">(G24*$H$22)/$G$22</f>
        <v>3.75</v>
      </c>
      <c r="I24" s="3">
        <f t="shared" si="16"/>
        <v>25</v>
      </c>
      <c r="J24" s="12">
        <v>45</v>
      </c>
      <c r="K24" s="8">
        <f t="shared" ref="K24:K31" si="22">(J24*$K$22)/$J$22</f>
        <v>4.5</v>
      </c>
      <c r="L24" s="3">
        <f t="shared" si="17"/>
        <v>25</v>
      </c>
      <c r="M24" s="12">
        <v>30</v>
      </c>
      <c r="N24" s="8">
        <f t="shared" ref="N24:N31" si="23">(M24*$N$22)/$M$22</f>
        <v>3.75</v>
      </c>
      <c r="O24" s="3">
        <f t="shared" si="18"/>
        <v>25</v>
      </c>
      <c r="P24" s="12">
        <v>62</v>
      </c>
      <c r="Q24" s="8">
        <f t="shared" ref="Q24:Q31" si="24">(P24*$Q$22)/$P$22</f>
        <v>8.8571428571428577</v>
      </c>
      <c r="R24" s="3">
        <f t="shared" si="19"/>
        <v>37.999062390122404</v>
      </c>
    </row>
    <row r="25" spans="1:19" ht="22" x14ac:dyDescent="0.35">
      <c r="A25" s="6">
        <v>21</v>
      </c>
      <c r="B25" s="38">
        <v>5546000020</v>
      </c>
      <c r="C25" s="39" t="s">
        <v>92</v>
      </c>
      <c r="D25" s="12">
        <v>45</v>
      </c>
      <c r="E25" s="8">
        <f t="shared" si="20"/>
        <v>4.5</v>
      </c>
      <c r="F25" s="3">
        <f t="shared" si="15"/>
        <v>25</v>
      </c>
      <c r="G25" s="12">
        <v>30</v>
      </c>
      <c r="H25" s="8">
        <f t="shared" si="21"/>
        <v>3.75</v>
      </c>
      <c r="I25" s="3">
        <f t="shared" si="16"/>
        <v>25</v>
      </c>
      <c r="J25" s="12">
        <v>45</v>
      </c>
      <c r="K25" s="8">
        <f t="shared" si="22"/>
        <v>4.5</v>
      </c>
      <c r="L25" s="3">
        <f t="shared" si="17"/>
        <v>25</v>
      </c>
      <c r="M25" s="12">
        <v>30</v>
      </c>
      <c r="N25" s="8">
        <f t="shared" si="23"/>
        <v>3.75</v>
      </c>
      <c r="O25" s="3">
        <f t="shared" si="18"/>
        <v>25</v>
      </c>
      <c r="P25" s="12">
        <v>62</v>
      </c>
      <c r="Q25" s="8">
        <f t="shared" si="24"/>
        <v>8.8571428571428577</v>
      </c>
      <c r="R25" s="3">
        <f t="shared" si="19"/>
        <v>37.999062390122404</v>
      </c>
    </row>
    <row r="26" spans="1:19" ht="22" x14ac:dyDescent="0.35">
      <c r="A26" s="6">
        <v>31</v>
      </c>
      <c r="B26" s="38">
        <v>5546000030</v>
      </c>
      <c r="C26" s="39" t="s">
        <v>93</v>
      </c>
      <c r="D26" s="12">
        <v>45</v>
      </c>
      <c r="E26" s="8">
        <f t="shared" si="20"/>
        <v>4.5</v>
      </c>
      <c r="F26" s="3">
        <f t="shared" si="15"/>
        <v>25</v>
      </c>
      <c r="G26" s="12">
        <v>30</v>
      </c>
      <c r="H26" s="8">
        <f t="shared" si="21"/>
        <v>3.75</v>
      </c>
      <c r="I26" s="3">
        <f t="shared" si="16"/>
        <v>25</v>
      </c>
      <c r="J26" s="12">
        <v>45</v>
      </c>
      <c r="K26" s="8">
        <f t="shared" si="22"/>
        <v>4.5</v>
      </c>
      <c r="L26" s="3">
        <f t="shared" si="17"/>
        <v>25</v>
      </c>
      <c r="M26" s="12">
        <v>30</v>
      </c>
      <c r="N26" s="8">
        <f t="shared" si="23"/>
        <v>3.75</v>
      </c>
      <c r="O26" s="3">
        <f t="shared" si="18"/>
        <v>25</v>
      </c>
      <c r="P26" s="12">
        <v>65</v>
      </c>
      <c r="Q26" s="8">
        <f t="shared" si="24"/>
        <v>9.2857142857142865</v>
      </c>
      <c r="R26" s="3">
        <f t="shared" si="19"/>
        <v>58.250644606790836</v>
      </c>
    </row>
    <row r="27" spans="1:19" ht="22" x14ac:dyDescent="0.35">
      <c r="A27" s="6">
        <v>41</v>
      </c>
      <c r="B27" s="38">
        <v>5546000040</v>
      </c>
      <c r="C27" s="39" t="s">
        <v>94</v>
      </c>
      <c r="D27" s="12">
        <v>45</v>
      </c>
      <c r="E27" s="8">
        <f t="shared" si="20"/>
        <v>4.5</v>
      </c>
      <c r="F27" s="3">
        <f t="shared" si="15"/>
        <v>25</v>
      </c>
      <c r="G27" s="12">
        <v>30</v>
      </c>
      <c r="H27" s="8">
        <f t="shared" si="21"/>
        <v>3.75</v>
      </c>
      <c r="I27" s="3">
        <f t="shared" si="16"/>
        <v>25</v>
      </c>
      <c r="J27" s="12">
        <v>45</v>
      </c>
      <c r="K27" s="8">
        <f t="shared" si="22"/>
        <v>4.5</v>
      </c>
      <c r="L27" s="3">
        <f t="shared" si="17"/>
        <v>25</v>
      </c>
      <c r="M27" s="12">
        <v>30</v>
      </c>
      <c r="N27" s="8">
        <f t="shared" si="23"/>
        <v>3.75</v>
      </c>
      <c r="O27" s="3">
        <f t="shared" si="18"/>
        <v>25</v>
      </c>
      <c r="P27" s="12">
        <v>63</v>
      </c>
      <c r="Q27" s="8">
        <f t="shared" si="24"/>
        <v>9</v>
      </c>
      <c r="R27" s="3">
        <f t="shared" si="19"/>
        <v>44.749589795678553</v>
      </c>
    </row>
    <row r="28" spans="1:19" ht="22" x14ac:dyDescent="0.35">
      <c r="A28" s="6">
        <v>51</v>
      </c>
      <c r="B28" s="38">
        <v>5546000050</v>
      </c>
      <c r="C28" s="39" t="s">
        <v>95</v>
      </c>
      <c r="D28" s="12">
        <v>45</v>
      </c>
      <c r="E28" s="8">
        <f t="shared" si="20"/>
        <v>4.5</v>
      </c>
      <c r="F28" s="3">
        <f t="shared" si="15"/>
        <v>25</v>
      </c>
      <c r="G28" s="12">
        <v>30</v>
      </c>
      <c r="H28" s="8">
        <f t="shared" si="21"/>
        <v>3.75</v>
      </c>
      <c r="I28" s="3">
        <f t="shared" si="16"/>
        <v>25</v>
      </c>
      <c r="J28" s="12">
        <v>45</v>
      </c>
      <c r="K28" s="8">
        <f t="shared" si="22"/>
        <v>4.5</v>
      </c>
      <c r="L28" s="3">
        <f t="shared" si="17"/>
        <v>25</v>
      </c>
      <c r="M28" s="12">
        <v>30</v>
      </c>
      <c r="N28" s="8">
        <f t="shared" si="23"/>
        <v>3.75</v>
      </c>
      <c r="O28" s="3">
        <f t="shared" si="18"/>
        <v>25</v>
      </c>
      <c r="P28" s="12">
        <v>65</v>
      </c>
      <c r="Q28" s="8">
        <f t="shared" si="24"/>
        <v>9.2857142857142865</v>
      </c>
      <c r="R28" s="3">
        <f t="shared" si="19"/>
        <v>58.250644606790836</v>
      </c>
    </row>
    <row r="29" spans="1:19" ht="22" x14ac:dyDescent="0.35">
      <c r="A29" s="6">
        <v>61</v>
      </c>
      <c r="B29" s="38">
        <v>5546000060</v>
      </c>
      <c r="C29" s="39" t="s">
        <v>96</v>
      </c>
      <c r="D29" s="12">
        <v>45</v>
      </c>
      <c r="E29" s="8">
        <f t="shared" si="20"/>
        <v>4.5</v>
      </c>
      <c r="F29" s="3">
        <f t="shared" si="15"/>
        <v>25</v>
      </c>
      <c r="G29" s="12">
        <v>30</v>
      </c>
      <c r="H29" s="8">
        <f t="shared" si="21"/>
        <v>3.75</v>
      </c>
      <c r="I29" s="3">
        <f t="shared" si="16"/>
        <v>25</v>
      </c>
      <c r="J29" s="12">
        <v>45</v>
      </c>
      <c r="K29" s="8">
        <f t="shared" si="22"/>
        <v>4.5</v>
      </c>
      <c r="L29" s="3">
        <f t="shared" si="17"/>
        <v>25</v>
      </c>
      <c r="M29" s="12">
        <v>30</v>
      </c>
      <c r="N29" s="8">
        <f t="shared" si="23"/>
        <v>3.75</v>
      </c>
      <c r="O29" s="3">
        <f t="shared" si="18"/>
        <v>25</v>
      </c>
      <c r="P29" s="12">
        <v>65</v>
      </c>
      <c r="Q29" s="8">
        <f t="shared" si="24"/>
        <v>9.2857142857142865</v>
      </c>
      <c r="R29" s="3">
        <f t="shared" si="19"/>
        <v>58.250644606790836</v>
      </c>
    </row>
    <row r="30" spans="1:19" ht="22" x14ac:dyDescent="0.35">
      <c r="A30" s="6">
        <v>71</v>
      </c>
      <c r="B30" s="38">
        <v>5546000070</v>
      </c>
      <c r="C30" s="39" t="s">
        <v>97</v>
      </c>
      <c r="D30" s="12">
        <v>45</v>
      </c>
      <c r="E30" s="8">
        <f t="shared" ref="E30" si="25">(D30*$E$22)/$D$22</f>
        <v>4.5</v>
      </c>
      <c r="F30" s="3">
        <f t="shared" si="15"/>
        <v>25</v>
      </c>
      <c r="G30" s="12">
        <v>30</v>
      </c>
      <c r="H30" s="8">
        <f t="shared" ref="H30" si="26">(G30*$H$22)/$G$22</f>
        <v>3.75</v>
      </c>
      <c r="I30" s="3">
        <f t="shared" si="16"/>
        <v>25</v>
      </c>
      <c r="J30" s="12">
        <v>45</v>
      </c>
      <c r="K30" s="8">
        <f t="shared" ref="K30" si="27">(J30*$K$22)/$J$22</f>
        <v>4.5</v>
      </c>
      <c r="L30" s="3">
        <f t="shared" si="17"/>
        <v>25</v>
      </c>
      <c r="M30" s="12">
        <v>30</v>
      </c>
      <c r="N30" s="8">
        <f t="shared" ref="N30" si="28">(M30*$N$22)/$M$22</f>
        <v>3.75</v>
      </c>
      <c r="O30" s="3">
        <f t="shared" si="18"/>
        <v>25</v>
      </c>
      <c r="P30" s="12">
        <v>65</v>
      </c>
      <c r="Q30" s="8">
        <f t="shared" ref="Q30" si="29">(P30*$Q$22)/$P$22</f>
        <v>9.2857142857142865</v>
      </c>
      <c r="R30" s="3">
        <f t="shared" si="19"/>
        <v>58.250644606790836</v>
      </c>
    </row>
    <row r="31" spans="1:19" ht="22" x14ac:dyDescent="0.35">
      <c r="A31" s="6">
        <v>81</v>
      </c>
      <c r="B31" s="38">
        <v>5546000080</v>
      </c>
      <c r="C31" s="39" t="s">
        <v>98</v>
      </c>
      <c r="D31" s="12">
        <v>45</v>
      </c>
      <c r="E31" s="8">
        <f t="shared" si="20"/>
        <v>4.5</v>
      </c>
      <c r="F31" s="3">
        <f t="shared" si="15"/>
        <v>25</v>
      </c>
      <c r="G31" s="12">
        <v>30</v>
      </c>
      <c r="H31" s="8">
        <f t="shared" si="21"/>
        <v>3.75</v>
      </c>
      <c r="I31" s="3">
        <f t="shared" si="16"/>
        <v>25</v>
      </c>
      <c r="J31" s="12">
        <v>45</v>
      </c>
      <c r="K31" s="8">
        <f t="shared" si="22"/>
        <v>4.5</v>
      </c>
      <c r="L31" s="3">
        <f t="shared" si="17"/>
        <v>25</v>
      </c>
      <c r="M31" s="12">
        <v>30</v>
      </c>
      <c r="N31" s="8">
        <f t="shared" si="23"/>
        <v>3.75</v>
      </c>
      <c r="O31" s="3">
        <f t="shared" si="18"/>
        <v>25</v>
      </c>
      <c r="P31" s="12">
        <v>65</v>
      </c>
      <c r="Q31" s="8">
        <f t="shared" si="24"/>
        <v>9.2857142857142865</v>
      </c>
      <c r="R31" s="3">
        <f t="shared" si="19"/>
        <v>58.250644606790836</v>
      </c>
    </row>
    <row r="32" spans="1:19" x14ac:dyDescent="0.35">
      <c r="C32" s="42" t="s">
        <v>13</v>
      </c>
      <c r="D32" s="9">
        <f>AVERAGE($D$23:$D$31)</f>
        <v>45</v>
      </c>
      <c r="G32" s="9">
        <f>AVERAGE($G$23:$G$31)</f>
        <v>30</v>
      </c>
      <c r="J32" s="9">
        <f>AVERAGE($J$23:$J$31)</f>
        <v>45</v>
      </c>
      <c r="M32" s="9">
        <f>AVERAGE($M$23:$M$31)</f>
        <v>30</v>
      </c>
      <c r="P32" s="9">
        <f>AVERAGE($P$23:$P$31)</f>
        <v>63.777777777777779</v>
      </c>
    </row>
    <row r="33" spans="1:20" x14ac:dyDescent="0.35">
      <c r="C33" s="42" t="s">
        <v>14</v>
      </c>
      <c r="D33" s="9">
        <f>STDEV($D$23:$D$31)</f>
        <v>0</v>
      </c>
      <c r="F33" s="5"/>
      <c r="G33" s="9">
        <f>STDEV($G$23:$G$31)</f>
        <v>0</v>
      </c>
      <c r="J33" s="9">
        <f>STDEV($J$23:$J$31)</f>
        <v>0</v>
      </c>
      <c r="L33" s="5"/>
      <c r="M33" s="9">
        <f>STDEV($M$23:$M$31)</f>
        <v>0</v>
      </c>
      <c r="P33" s="9">
        <f>STDEV($P$23:$P$31)</f>
        <v>1.4813657362192649</v>
      </c>
    </row>
    <row r="34" spans="1:20" x14ac:dyDescent="0.35">
      <c r="C34" s="42"/>
      <c r="D34" s="9"/>
      <c r="F34" s="5"/>
      <c r="G34" s="9" t="s">
        <v>2</v>
      </c>
      <c r="J34" s="9"/>
      <c r="L34" s="5"/>
      <c r="M34" s="9"/>
      <c r="P34" s="1" t="s">
        <v>2</v>
      </c>
    </row>
    <row r="35" spans="1:20" x14ac:dyDescent="0.35">
      <c r="D35" s="208" t="s">
        <v>99</v>
      </c>
      <c r="E35" s="208"/>
      <c r="F35" s="208"/>
      <c r="P35" s="1" t="s">
        <v>2</v>
      </c>
    </row>
    <row r="36" spans="1:20" x14ac:dyDescent="0.35">
      <c r="A36" s="204" t="s">
        <v>76</v>
      </c>
      <c r="B36" s="204" t="s">
        <v>12</v>
      </c>
      <c r="C36" s="204" t="s">
        <v>0</v>
      </c>
      <c r="D36" s="207" t="s">
        <v>65</v>
      </c>
      <c r="E36" s="207"/>
      <c r="F36" s="207"/>
      <c r="G36" s="209" t="s">
        <v>53</v>
      </c>
      <c r="H36" s="209"/>
      <c r="I36" s="209"/>
      <c r="J36" s="209" t="s">
        <v>66</v>
      </c>
      <c r="K36" s="209"/>
      <c r="L36" s="209"/>
      <c r="M36" s="202"/>
      <c r="N36" s="202"/>
      <c r="O36" s="202"/>
      <c r="P36" s="210"/>
      <c r="Q36" s="210"/>
      <c r="R36" s="210"/>
    </row>
    <row r="37" spans="1:20" x14ac:dyDescent="0.35">
      <c r="A37" s="204"/>
      <c r="B37" s="204"/>
      <c r="C37" s="204"/>
      <c r="D37" s="44" t="s">
        <v>17</v>
      </c>
      <c r="E37" s="44" t="s">
        <v>6</v>
      </c>
      <c r="F37" s="44" t="s">
        <v>3</v>
      </c>
      <c r="G37" s="44" t="s">
        <v>17</v>
      </c>
      <c r="H37" s="44" t="s">
        <v>6</v>
      </c>
      <c r="I37" s="44" t="s">
        <v>3</v>
      </c>
      <c r="J37" s="44" t="s">
        <v>17</v>
      </c>
      <c r="K37" s="44" t="s">
        <v>6</v>
      </c>
      <c r="L37" s="44" t="s">
        <v>3</v>
      </c>
      <c r="M37" s="42"/>
      <c r="N37" s="42"/>
      <c r="O37" s="42"/>
      <c r="P37" s="42"/>
      <c r="Q37" s="42"/>
      <c r="R37" s="42"/>
    </row>
    <row r="38" spans="1:20" x14ac:dyDescent="0.35">
      <c r="A38" s="204"/>
      <c r="B38" s="204"/>
      <c r="C38" s="204"/>
      <c r="D38" s="14">
        <v>30</v>
      </c>
      <c r="E38" s="14">
        <v>5</v>
      </c>
      <c r="F38" s="34">
        <f>$E$38/10</f>
        <v>0.5</v>
      </c>
      <c r="G38" s="14">
        <v>50</v>
      </c>
      <c r="H38" s="14">
        <v>5</v>
      </c>
      <c r="I38" s="34">
        <f>$H$38/10</f>
        <v>0.5</v>
      </c>
      <c r="J38" s="14">
        <v>60</v>
      </c>
      <c r="K38" s="14">
        <v>5</v>
      </c>
      <c r="L38" s="34">
        <f>$K$38/10</f>
        <v>0.5</v>
      </c>
      <c r="M38" s="40"/>
      <c r="N38" s="40"/>
      <c r="O38" s="41"/>
      <c r="P38" s="2"/>
      <c r="Q38" s="2"/>
      <c r="R38" s="41"/>
    </row>
    <row r="39" spans="1:20" ht="22" x14ac:dyDescent="0.35">
      <c r="A39" s="6">
        <v>1</v>
      </c>
      <c r="B39" s="38">
        <v>5346000035</v>
      </c>
      <c r="C39" s="39" t="s">
        <v>90</v>
      </c>
      <c r="D39" s="12">
        <v>25</v>
      </c>
      <c r="E39" s="8">
        <f>(D39*$E$38)/$D$38</f>
        <v>4.166666666666667</v>
      </c>
      <c r="F39" s="3">
        <f t="shared" ref="F39:F47" si="30">IF($D$49=0,50,(50+(10*(STANDARDIZE(D39,$D$48,$D$49)))))*$F$38</f>
        <v>25</v>
      </c>
      <c r="G39" s="12">
        <v>45</v>
      </c>
      <c r="H39" s="8">
        <f>(G39*$H$38)/$G$38</f>
        <v>4.5</v>
      </c>
      <c r="I39" s="3">
        <f t="shared" ref="I39:I47" si="31">IF($G$49=0,50,(50+(10*(STANDARDIZE(G39,$G$48,$G$49)))))*$I$38</f>
        <v>18.333333333333321</v>
      </c>
      <c r="J39" s="12">
        <v>34</v>
      </c>
      <c r="K39" s="8">
        <f>(J39*$K$38)/$J$38</f>
        <v>2.8333333333333335</v>
      </c>
      <c r="L39" s="3">
        <f t="shared" ref="L39:L47" si="32">IF($J$49=0,50,(50+(10*(STANDARDIZE(J39,$J$48,$J$49)))))*$L$38</f>
        <v>14.816816933911937</v>
      </c>
      <c r="M39" s="9"/>
      <c r="N39" s="19"/>
      <c r="O39" s="9"/>
      <c r="P39" s="2"/>
      <c r="Q39" s="19"/>
      <c r="R39" s="9"/>
    </row>
    <row r="40" spans="1:20" ht="22" x14ac:dyDescent="0.35">
      <c r="A40" s="6">
        <v>11</v>
      </c>
      <c r="B40" s="38">
        <v>5546000010</v>
      </c>
      <c r="C40" s="39" t="s">
        <v>91</v>
      </c>
      <c r="D40" s="12">
        <v>25</v>
      </c>
      <c r="E40" s="8">
        <f t="shared" ref="E40:E47" si="33">(D40*$E$38)/$D$38</f>
        <v>4.166666666666667</v>
      </c>
      <c r="F40" s="3">
        <f t="shared" si="30"/>
        <v>25</v>
      </c>
      <c r="G40" s="12">
        <v>46</v>
      </c>
      <c r="H40" s="8">
        <f t="shared" ref="H40:H47" si="34">(G40*$H$38)/$G$38</f>
        <v>4.5999999999999996</v>
      </c>
      <c r="I40" s="3">
        <f t="shared" si="31"/>
        <v>23.333333333333321</v>
      </c>
      <c r="J40" s="12">
        <v>37</v>
      </c>
      <c r="K40" s="8">
        <f t="shared" ref="K40:K47" si="35">(J40*$K$38)/$J$38</f>
        <v>3.0833333333333335</v>
      </c>
      <c r="L40" s="3">
        <f t="shared" si="32"/>
        <v>18.583199711780125</v>
      </c>
      <c r="M40" s="9"/>
      <c r="N40" s="19"/>
      <c r="O40" s="9"/>
      <c r="P40" s="2"/>
      <c r="Q40" s="19"/>
      <c r="R40" s="9"/>
    </row>
    <row r="41" spans="1:20" ht="22" x14ac:dyDescent="0.35">
      <c r="A41" s="6">
        <v>21</v>
      </c>
      <c r="B41" s="38">
        <v>5546000020</v>
      </c>
      <c r="C41" s="39" t="s">
        <v>92</v>
      </c>
      <c r="D41" s="12">
        <v>25</v>
      </c>
      <c r="E41" s="8">
        <f t="shared" si="33"/>
        <v>4.166666666666667</v>
      </c>
      <c r="F41" s="3">
        <f t="shared" si="30"/>
        <v>25</v>
      </c>
      <c r="G41" s="12">
        <v>46</v>
      </c>
      <c r="H41" s="8">
        <f t="shared" si="34"/>
        <v>4.5999999999999996</v>
      </c>
      <c r="I41" s="3">
        <f t="shared" si="31"/>
        <v>23.333333333333321</v>
      </c>
      <c r="J41" s="12">
        <v>45</v>
      </c>
      <c r="K41" s="8">
        <f t="shared" si="35"/>
        <v>3.75</v>
      </c>
      <c r="L41" s="3">
        <f t="shared" si="32"/>
        <v>28.62688711942862</v>
      </c>
      <c r="M41" s="9"/>
      <c r="N41" s="19"/>
      <c r="O41" s="9"/>
      <c r="P41" s="2"/>
      <c r="Q41" s="19"/>
      <c r="R41" s="9"/>
    </row>
    <row r="42" spans="1:20" ht="22" x14ac:dyDescent="0.35">
      <c r="A42" s="6">
        <v>31</v>
      </c>
      <c r="B42" s="38">
        <v>5546000030</v>
      </c>
      <c r="C42" s="39" t="s">
        <v>93</v>
      </c>
      <c r="D42" s="12">
        <v>25</v>
      </c>
      <c r="E42" s="8">
        <f t="shared" si="33"/>
        <v>4.166666666666667</v>
      </c>
      <c r="F42" s="3">
        <f t="shared" si="30"/>
        <v>25</v>
      </c>
      <c r="G42" s="12">
        <v>46</v>
      </c>
      <c r="H42" s="8">
        <f t="shared" si="34"/>
        <v>4.5999999999999996</v>
      </c>
      <c r="I42" s="3">
        <f t="shared" si="31"/>
        <v>23.333333333333321</v>
      </c>
      <c r="J42" s="12">
        <v>46</v>
      </c>
      <c r="K42" s="8">
        <f t="shared" si="35"/>
        <v>3.8333333333333335</v>
      </c>
      <c r="L42" s="3">
        <f t="shared" si="32"/>
        <v>29.882348045384681</v>
      </c>
      <c r="M42" s="9"/>
      <c r="N42" s="19"/>
      <c r="O42" s="9"/>
      <c r="P42" s="2"/>
      <c r="Q42" s="19"/>
      <c r="R42" s="9"/>
    </row>
    <row r="43" spans="1:20" ht="22" x14ac:dyDescent="0.35">
      <c r="A43" s="6">
        <v>41</v>
      </c>
      <c r="B43" s="38">
        <v>5546000040</v>
      </c>
      <c r="C43" s="39" t="s">
        <v>94</v>
      </c>
      <c r="D43" s="12">
        <v>25</v>
      </c>
      <c r="E43" s="8">
        <f t="shared" si="33"/>
        <v>4.166666666666667</v>
      </c>
      <c r="F43" s="3">
        <f t="shared" si="30"/>
        <v>25</v>
      </c>
      <c r="G43" s="12">
        <v>46</v>
      </c>
      <c r="H43" s="8">
        <f t="shared" si="34"/>
        <v>4.5999999999999996</v>
      </c>
      <c r="I43" s="3">
        <f t="shared" si="31"/>
        <v>23.333333333333321</v>
      </c>
      <c r="J43" s="12">
        <v>44</v>
      </c>
      <c r="K43" s="8">
        <f t="shared" si="35"/>
        <v>3.6666666666666665</v>
      </c>
      <c r="L43" s="3">
        <f t="shared" si="32"/>
        <v>27.371426193472558</v>
      </c>
      <c r="M43" s="9"/>
      <c r="N43" s="19"/>
      <c r="O43" s="9"/>
      <c r="P43" s="2"/>
      <c r="Q43" s="19"/>
      <c r="R43" s="9"/>
    </row>
    <row r="44" spans="1:20" ht="22" x14ac:dyDescent="0.35">
      <c r="A44" s="6">
        <v>51</v>
      </c>
      <c r="B44" s="38">
        <v>5546000050</v>
      </c>
      <c r="C44" s="39" t="s">
        <v>95</v>
      </c>
      <c r="D44" s="12">
        <v>25</v>
      </c>
      <c r="E44" s="8">
        <f t="shared" si="33"/>
        <v>4.166666666666667</v>
      </c>
      <c r="F44" s="3">
        <f t="shared" si="30"/>
        <v>25</v>
      </c>
      <c r="G44" s="12">
        <v>48</v>
      </c>
      <c r="H44" s="8">
        <f t="shared" si="34"/>
        <v>4.8</v>
      </c>
      <c r="I44" s="3">
        <f t="shared" si="31"/>
        <v>33.333333333333321</v>
      </c>
      <c r="J44" s="12">
        <v>44</v>
      </c>
      <c r="K44" s="8">
        <f t="shared" si="35"/>
        <v>3.6666666666666665</v>
      </c>
      <c r="L44" s="3">
        <f t="shared" si="32"/>
        <v>27.371426193472558</v>
      </c>
      <c r="M44" s="9"/>
      <c r="N44" s="19"/>
      <c r="O44" s="9"/>
      <c r="P44" s="2"/>
      <c r="Q44" s="19"/>
      <c r="R44" s="9"/>
    </row>
    <row r="45" spans="1:20" ht="22" x14ac:dyDescent="0.35">
      <c r="A45" s="6">
        <v>61</v>
      </c>
      <c r="B45" s="38">
        <v>5546000060</v>
      </c>
      <c r="C45" s="39" t="s">
        <v>96</v>
      </c>
      <c r="D45" s="12">
        <v>25</v>
      </c>
      <c r="E45" s="8">
        <f t="shared" si="33"/>
        <v>4.166666666666667</v>
      </c>
      <c r="F45" s="3">
        <f t="shared" si="30"/>
        <v>25</v>
      </c>
      <c r="G45" s="12">
        <v>48</v>
      </c>
      <c r="H45" s="8">
        <f t="shared" si="34"/>
        <v>4.8</v>
      </c>
      <c r="I45" s="3">
        <f t="shared" si="31"/>
        <v>33.333333333333321</v>
      </c>
      <c r="J45" s="12">
        <v>44</v>
      </c>
      <c r="K45" s="8">
        <f t="shared" si="35"/>
        <v>3.6666666666666665</v>
      </c>
      <c r="L45" s="3">
        <f t="shared" si="32"/>
        <v>27.371426193472558</v>
      </c>
      <c r="M45" s="9"/>
      <c r="N45" s="19"/>
      <c r="O45" s="9"/>
      <c r="P45" s="2"/>
      <c r="Q45" s="19"/>
      <c r="R45" s="9"/>
    </row>
    <row r="46" spans="1:20" ht="22" x14ac:dyDescent="0.35">
      <c r="A46" s="6">
        <v>71</v>
      </c>
      <c r="B46" s="38">
        <v>5546000070</v>
      </c>
      <c r="C46" s="39" t="s">
        <v>97</v>
      </c>
      <c r="D46" s="12">
        <v>25</v>
      </c>
      <c r="E46" s="8">
        <f t="shared" ref="E46" si="36">(D46*$E$38)/$D$38</f>
        <v>4.166666666666667</v>
      </c>
      <c r="F46" s="3">
        <f t="shared" si="30"/>
        <v>25</v>
      </c>
      <c r="G46" s="12">
        <v>46</v>
      </c>
      <c r="H46" s="8">
        <f t="shared" ref="H46" si="37">(G46*$H$38)/$G$38</f>
        <v>4.5999999999999996</v>
      </c>
      <c r="I46" s="3">
        <f t="shared" si="31"/>
        <v>23.333333333333321</v>
      </c>
      <c r="J46" s="12">
        <v>42</v>
      </c>
      <c r="K46" s="8">
        <f t="shared" ref="K46" si="38">(J46*$K$38)/$J$38</f>
        <v>3.5</v>
      </c>
      <c r="L46" s="3">
        <f t="shared" si="32"/>
        <v>24.860504341560432</v>
      </c>
      <c r="M46" s="9"/>
      <c r="N46" s="19"/>
      <c r="O46" s="9"/>
      <c r="P46" s="2"/>
      <c r="Q46" s="19"/>
      <c r="R46" s="9"/>
    </row>
    <row r="47" spans="1:20" ht="22" x14ac:dyDescent="0.35">
      <c r="A47" s="6">
        <v>81</v>
      </c>
      <c r="B47" s="38">
        <v>5546000080</v>
      </c>
      <c r="C47" s="39" t="s">
        <v>98</v>
      </c>
      <c r="D47" s="12">
        <v>25</v>
      </c>
      <c r="E47" s="8">
        <f t="shared" si="33"/>
        <v>4.166666666666667</v>
      </c>
      <c r="F47" s="3">
        <f t="shared" si="30"/>
        <v>25</v>
      </c>
      <c r="G47" s="12">
        <v>46</v>
      </c>
      <c r="H47" s="8">
        <f t="shared" si="34"/>
        <v>4.5999999999999996</v>
      </c>
      <c r="I47" s="3">
        <f t="shared" si="31"/>
        <v>23.333333333333321</v>
      </c>
      <c r="J47" s="12">
        <v>43</v>
      </c>
      <c r="K47" s="8">
        <f t="shared" si="35"/>
        <v>3.5833333333333335</v>
      </c>
      <c r="L47" s="3">
        <f t="shared" si="32"/>
        <v>26.115965267516497</v>
      </c>
      <c r="M47" s="9"/>
      <c r="N47" s="19"/>
      <c r="O47" s="9"/>
      <c r="P47" s="2"/>
      <c r="Q47" s="19"/>
      <c r="R47" s="9"/>
    </row>
    <row r="48" spans="1:20" x14ac:dyDescent="0.35">
      <c r="C48" s="42" t="s">
        <v>13</v>
      </c>
      <c r="D48" s="9">
        <f>AVERAGE($D$39:$D$47)</f>
        <v>25</v>
      </c>
      <c r="G48" s="9">
        <f>AVERAGE($G$39:$G$47)</f>
        <v>46.333333333333336</v>
      </c>
      <c r="J48" s="9">
        <f>AVERAGE($J$39:$J$47)</f>
        <v>42.111111111111114</v>
      </c>
      <c r="M48" s="9"/>
      <c r="P48" s="9"/>
      <c r="T48" s="1" t="s">
        <v>2</v>
      </c>
    </row>
    <row r="49" spans="1:22" x14ac:dyDescent="0.35">
      <c r="C49" s="42" t="s">
        <v>14</v>
      </c>
      <c r="D49" s="9">
        <f>STDEV($D$39:$D$47)</f>
        <v>0</v>
      </c>
      <c r="F49" s="5"/>
      <c r="G49" s="9">
        <f>STDEV($G$39:$G$47)</f>
        <v>0.99999999999999989</v>
      </c>
      <c r="J49" s="9">
        <f>STDEV($J$39:$J$47)</f>
        <v>3.982601048449506</v>
      </c>
      <c r="L49" s="5"/>
      <c r="M49" s="9"/>
      <c r="P49" s="9"/>
      <c r="V49" s="1" t="s">
        <v>2</v>
      </c>
    </row>
    <row r="50" spans="1:22" x14ac:dyDescent="0.35">
      <c r="C50" s="42"/>
      <c r="D50" s="9"/>
      <c r="F50" s="5"/>
      <c r="G50" s="9"/>
      <c r="J50" s="9"/>
      <c r="L50" s="5"/>
      <c r="M50" s="9"/>
      <c r="P50" s="1" t="s">
        <v>2</v>
      </c>
    </row>
    <row r="51" spans="1:22" x14ac:dyDescent="0.35">
      <c r="C51" s="42"/>
      <c r="D51" s="9"/>
      <c r="F51" s="5"/>
      <c r="G51" s="9"/>
      <c r="J51" s="9"/>
      <c r="L51" s="5"/>
      <c r="M51" s="9"/>
    </row>
    <row r="52" spans="1:22" ht="18.75" hidden="1" customHeight="1" x14ac:dyDescent="0.35">
      <c r="A52" s="204" t="s">
        <v>5</v>
      </c>
      <c r="B52" s="204" t="s">
        <v>12</v>
      </c>
      <c r="C52" s="204" t="s">
        <v>0</v>
      </c>
      <c r="D52" s="207" t="s">
        <v>21</v>
      </c>
      <c r="E52" s="207"/>
      <c r="F52" s="207"/>
      <c r="G52" s="207" t="s">
        <v>22</v>
      </c>
      <c r="H52" s="207"/>
      <c r="I52" s="207"/>
      <c r="J52" s="207" t="s">
        <v>23</v>
      </c>
      <c r="K52" s="207"/>
      <c r="L52" s="207"/>
      <c r="M52" s="207" t="s">
        <v>24</v>
      </c>
      <c r="N52" s="207"/>
      <c r="O52" s="207"/>
      <c r="P52" s="211" t="s">
        <v>25</v>
      </c>
      <c r="Q52" s="212"/>
      <c r="R52" s="213"/>
    </row>
    <row r="53" spans="1:22" ht="18.75" hidden="1" customHeight="1" x14ac:dyDescent="0.35">
      <c r="A53" s="204"/>
      <c r="B53" s="204"/>
      <c r="C53" s="204"/>
      <c r="D53" s="44" t="s">
        <v>17</v>
      </c>
      <c r="E53" s="44" t="s">
        <v>6</v>
      </c>
      <c r="F53" s="44" t="s">
        <v>3</v>
      </c>
      <c r="G53" s="44" t="s">
        <v>17</v>
      </c>
      <c r="H53" s="44" t="s">
        <v>6</v>
      </c>
      <c r="I53" s="44" t="s">
        <v>3</v>
      </c>
      <c r="J53" s="44" t="s">
        <v>17</v>
      </c>
      <c r="K53" s="44" t="s">
        <v>6</v>
      </c>
      <c r="L53" s="44" t="s">
        <v>3</v>
      </c>
      <c r="M53" s="44" t="s">
        <v>17</v>
      </c>
      <c r="N53" s="44" t="s">
        <v>6</v>
      </c>
      <c r="O53" s="44" t="s">
        <v>3</v>
      </c>
      <c r="P53" s="44" t="s">
        <v>17</v>
      </c>
      <c r="Q53" s="44" t="s">
        <v>6</v>
      </c>
      <c r="R53" s="44" t="s">
        <v>3</v>
      </c>
    </row>
    <row r="54" spans="1:22" hidden="1" x14ac:dyDescent="0.35">
      <c r="A54" s="204"/>
      <c r="B54" s="204"/>
      <c r="C54" s="204"/>
      <c r="D54" s="14"/>
      <c r="E54" s="14"/>
      <c r="F54" s="34"/>
      <c r="G54" s="14"/>
      <c r="H54" s="14"/>
      <c r="I54" s="36"/>
      <c r="J54" s="14"/>
      <c r="K54" s="14"/>
      <c r="L54" s="34"/>
      <c r="M54" s="14"/>
      <c r="N54" s="14"/>
      <c r="O54" s="34"/>
      <c r="P54" s="43"/>
      <c r="Q54" s="43"/>
      <c r="R54" s="35"/>
    </row>
    <row r="55" spans="1:22" ht="22" hidden="1" x14ac:dyDescent="0.35">
      <c r="A55" s="6">
        <v>1</v>
      </c>
      <c r="B55" s="38">
        <v>534600011</v>
      </c>
      <c r="C55" s="39" t="s">
        <v>44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22" ht="22" hidden="1" x14ac:dyDescent="0.35">
      <c r="A56" s="6">
        <v>2</v>
      </c>
      <c r="B56" s="38">
        <v>534600012</v>
      </c>
      <c r="C56" s="39" t="s">
        <v>45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22" ht="22" hidden="1" x14ac:dyDescent="0.35">
      <c r="A57" s="6">
        <v>3</v>
      </c>
      <c r="B57" s="38">
        <v>534600013</v>
      </c>
      <c r="C57" s="39" t="s">
        <v>46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22" ht="22" hidden="1" x14ac:dyDescent="0.35">
      <c r="A58" s="6">
        <v>4</v>
      </c>
      <c r="B58" s="38">
        <v>534600014</v>
      </c>
      <c r="C58" s="39" t="s">
        <v>47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22" ht="22" hidden="1" x14ac:dyDescent="0.35">
      <c r="A59" s="6">
        <v>5</v>
      </c>
      <c r="B59" s="38">
        <v>534600017</v>
      </c>
      <c r="C59" s="39" t="s">
        <v>48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22" ht="22" hidden="1" x14ac:dyDescent="0.35">
      <c r="A60" s="6">
        <v>6</v>
      </c>
      <c r="B60" s="38">
        <v>534600018</v>
      </c>
      <c r="C60" s="39" t="s">
        <v>49</v>
      </c>
      <c r="D60" s="12"/>
      <c r="E60" s="8"/>
      <c r="F60" s="3"/>
      <c r="G60" s="12"/>
      <c r="H60" s="8"/>
      <c r="I60" s="3"/>
      <c r="J60" s="12"/>
      <c r="K60" s="8"/>
      <c r="L60" s="3"/>
      <c r="M60" s="11"/>
      <c r="N60" s="8"/>
      <c r="O60" s="3"/>
      <c r="P60" s="12"/>
      <c r="Q60" s="8"/>
      <c r="R60" s="3"/>
    </row>
    <row r="61" spans="1:22" ht="22" hidden="1" x14ac:dyDescent="0.35">
      <c r="A61" s="6">
        <v>7</v>
      </c>
      <c r="B61" s="38">
        <v>534600019</v>
      </c>
      <c r="C61" s="39" t="s">
        <v>50</v>
      </c>
      <c r="D61" s="12"/>
      <c r="E61" s="8"/>
      <c r="F61" s="3"/>
      <c r="G61" s="12"/>
      <c r="H61" s="8"/>
      <c r="I61" s="3"/>
      <c r="J61" s="12"/>
      <c r="K61" s="8"/>
      <c r="L61" s="3"/>
      <c r="M61" s="11"/>
      <c r="N61" s="8"/>
      <c r="O61" s="3"/>
      <c r="P61" s="12"/>
      <c r="Q61" s="8"/>
      <c r="R61" s="3"/>
    </row>
    <row r="62" spans="1:22" ht="22" hidden="1" x14ac:dyDescent="0.35">
      <c r="A62" s="6">
        <v>8</v>
      </c>
      <c r="B62" s="38">
        <v>534600020</v>
      </c>
      <c r="C62" s="39" t="s">
        <v>51</v>
      </c>
      <c r="D62" s="12"/>
      <c r="E62" s="8"/>
      <c r="F62" s="3"/>
      <c r="G62" s="12"/>
      <c r="H62" s="8"/>
      <c r="I62" s="3"/>
      <c r="J62" s="12"/>
      <c r="K62" s="8"/>
      <c r="L62" s="3"/>
      <c r="M62" s="11"/>
      <c r="N62" s="8"/>
      <c r="O62" s="3"/>
      <c r="P62" s="12"/>
      <c r="Q62" s="8"/>
      <c r="R62" s="3"/>
    </row>
    <row r="63" spans="1:22" hidden="1" x14ac:dyDescent="0.35">
      <c r="C63" s="42" t="s">
        <v>13</v>
      </c>
      <c r="D63" s="9"/>
      <c r="G63" s="9"/>
      <c r="J63" s="9"/>
      <c r="M63" s="9"/>
      <c r="P63" s="9"/>
    </row>
    <row r="64" spans="1:22" hidden="1" x14ac:dyDescent="0.35">
      <c r="C64" s="42" t="s">
        <v>14</v>
      </c>
      <c r="D64" s="9"/>
      <c r="F64" s="5"/>
      <c r="G64" s="9"/>
      <c r="J64" s="9"/>
      <c r="L64" s="5"/>
      <c r="M64" s="9"/>
      <c r="P64" s="9"/>
    </row>
    <row r="65" spans="1:21" hidden="1" x14ac:dyDescent="0.35">
      <c r="C65" s="42"/>
      <c r="D65" s="9"/>
      <c r="F65" s="5"/>
      <c r="G65" s="9"/>
      <c r="J65" s="9"/>
      <c r="L65" s="5"/>
      <c r="M65" s="9"/>
    </row>
    <row r="66" spans="1:21" hidden="1" x14ac:dyDescent="0.35">
      <c r="C66" s="42"/>
      <c r="D66" s="9"/>
      <c r="F66" s="5"/>
      <c r="G66" s="9"/>
      <c r="J66" s="9"/>
      <c r="L66" s="5"/>
      <c r="M66" s="9"/>
    </row>
    <row r="67" spans="1:21" hidden="1" x14ac:dyDescent="0.35">
      <c r="A67" s="204" t="s">
        <v>5</v>
      </c>
      <c r="B67" s="204" t="s">
        <v>12</v>
      </c>
      <c r="C67" s="204" t="s">
        <v>0</v>
      </c>
      <c r="D67" s="207" t="s">
        <v>26</v>
      </c>
      <c r="E67" s="207"/>
      <c r="F67" s="207"/>
      <c r="G67" s="207" t="s">
        <v>27</v>
      </c>
      <c r="H67" s="207"/>
      <c r="I67" s="207"/>
      <c r="J67" s="207" t="s">
        <v>28</v>
      </c>
      <c r="K67" s="207"/>
      <c r="L67" s="207"/>
      <c r="M67" s="207" t="s">
        <v>29</v>
      </c>
      <c r="N67" s="207"/>
      <c r="O67" s="207"/>
      <c r="P67" s="214" t="s">
        <v>30</v>
      </c>
      <c r="Q67" s="215"/>
      <c r="R67" s="216"/>
    </row>
    <row r="68" spans="1:21" hidden="1" x14ac:dyDescent="0.35">
      <c r="A68" s="204"/>
      <c r="B68" s="204"/>
      <c r="C68" s="204"/>
      <c r="D68" s="44" t="s">
        <v>17</v>
      </c>
      <c r="E68" s="44" t="s">
        <v>6</v>
      </c>
      <c r="F68" s="44" t="s">
        <v>3</v>
      </c>
      <c r="G68" s="44" t="s">
        <v>17</v>
      </c>
      <c r="H68" s="44" t="s">
        <v>6</v>
      </c>
      <c r="I68" s="44" t="s">
        <v>3</v>
      </c>
      <c r="J68" s="44" t="s">
        <v>17</v>
      </c>
      <c r="K68" s="44" t="s">
        <v>6</v>
      </c>
      <c r="L68" s="44" t="s">
        <v>3</v>
      </c>
      <c r="M68" s="44" t="s">
        <v>17</v>
      </c>
      <c r="N68" s="44" t="s">
        <v>6</v>
      </c>
      <c r="O68" s="44" t="s">
        <v>3</v>
      </c>
      <c r="P68" s="44" t="s">
        <v>17</v>
      </c>
      <c r="Q68" s="44" t="s">
        <v>6</v>
      </c>
      <c r="R68" s="44" t="s">
        <v>3</v>
      </c>
    </row>
    <row r="69" spans="1:21" hidden="1" x14ac:dyDescent="0.35">
      <c r="A69" s="204"/>
      <c r="B69" s="204"/>
      <c r="C69" s="204"/>
      <c r="D69" s="14"/>
      <c r="E69" s="14"/>
      <c r="F69" s="34"/>
      <c r="G69" s="14"/>
      <c r="H69" s="14"/>
      <c r="I69" s="34"/>
      <c r="J69" s="14"/>
      <c r="K69" s="14"/>
      <c r="L69" s="34"/>
      <c r="M69" s="14"/>
      <c r="N69" s="14"/>
      <c r="O69" s="34"/>
      <c r="P69" s="43"/>
      <c r="Q69" s="43"/>
      <c r="R69" s="34"/>
    </row>
    <row r="70" spans="1:21" ht="22" hidden="1" x14ac:dyDescent="0.35">
      <c r="A70" s="6">
        <v>1</v>
      </c>
      <c r="B70" s="38">
        <v>534600011</v>
      </c>
      <c r="C70" s="39" t="s">
        <v>44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2</v>
      </c>
      <c r="B71" s="38">
        <v>534600012</v>
      </c>
      <c r="C71" s="39" t="s">
        <v>45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3</v>
      </c>
      <c r="B72" s="38">
        <v>534600013</v>
      </c>
      <c r="C72" s="39" t="s">
        <v>46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4</v>
      </c>
      <c r="B73" s="38">
        <v>534600014</v>
      </c>
      <c r="C73" s="39" t="s">
        <v>47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5</v>
      </c>
      <c r="B74" s="38">
        <v>534600017</v>
      </c>
      <c r="C74" s="39" t="s">
        <v>48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</row>
    <row r="75" spans="1:21" ht="22" hidden="1" x14ac:dyDescent="0.35">
      <c r="A75" s="6">
        <v>6</v>
      </c>
      <c r="B75" s="38">
        <v>534600018</v>
      </c>
      <c r="C75" s="39" t="s">
        <v>49</v>
      </c>
      <c r="D75" s="12"/>
      <c r="E75" s="8"/>
      <c r="F75" s="3"/>
      <c r="G75" s="12"/>
      <c r="H75" s="8"/>
      <c r="I75" s="3"/>
      <c r="J75" s="12"/>
      <c r="K75" s="8"/>
      <c r="L75" s="3"/>
      <c r="M75" s="17"/>
      <c r="N75" s="8"/>
      <c r="O75" s="3"/>
      <c r="P75" s="15"/>
      <c r="Q75" s="8"/>
      <c r="R75" s="3"/>
    </row>
    <row r="76" spans="1:21" ht="22" hidden="1" x14ac:dyDescent="0.35">
      <c r="A76" s="6">
        <v>7</v>
      </c>
      <c r="B76" s="38">
        <v>534600019</v>
      </c>
      <c r="C76" s="39" t="s">
        <v>50</v>
      </c>
      <c r="D76" s="12"/>
      <c r="E76" s="8"/>
      <c r="F76" s="3"/>
      <c r="G76" s="12"/>
      <c r="H76" s="8"/>
      <c r="I76" s="3"/>
      <c r="J76" s="12"/>
      <c r="K76" s="8"/>
      <c r="L76" s="3"/>
      <c r="M76" s="17"/>
      <c r="N76" s="8"/>
      <c r="O76" s="3"/>
      <c r="P76" s="15"/>
      <c r="Q76" s="8"/>
      <c r="R76" s="3"/>
    </row>
    <row r="77" spans="1:21" ht="22" hidden="1" x14ac:dyDescent="0.35">
      <c r="A77" s="6">
        <v>8</v>
      </c>
      <c r="B77" s="38">
        <v>534600020</v>
      </c>
      <c r="C77" s="39" t="s">
        <v>51</v>
      </c>
      <c r="D77" s="12"/>
      <c r="E77" s="8"/>
      <c r="F77" s="3"/>
      <c r="G77" s="12"/>
      <c r="H77" s="8"/>
      <c r="I77" s="3"/>
      <c r="J77" s="12"/>
      <c r="K77" s="8"/>
      <c r="L77" s="3"/>
      <c r="M77" s="17"/>
      <c r="N77" s="8"/>
      <c r="O77" s="3"/>
      <c r="P77" s="15"/>
      <c r="Q77" s="8"/>
      <c r="R77" s="3"/>
      <c r="U77" s="1" t="s">
        <v>2</v>
      </c>
    </row>
    <row r="78" spans="1:21" hidden="1" x14ac:dyDescent="0.35">
      <c r="C78" s="42" t="s">
        <v>13</v>
      </c>
      <c r="D78" s="9"/>
      <c r="G78" s="9"/>
      <c r="J78" s="9"/>
      <c r="M78" s="9"/>
      <c r="P78" s="9"/>
    </row>
    <row r="79" spans="1:21" hidden="1" x14ac:dyDescent="0.35">
      <c r="C79" s="42" t="s">
        <v>14</v>
      </c>
      <c r="D79" s="9"/>
      <c r="F79" s="5"/>
      <c r="G79" s="9"/>
      <c r="J79" s="9"/>
      <c r="L79" s="5"/>
      <c r="M79" s="9"/>
      <c r="P79" s="9"/>
    </row>
    <row r="80" spans="1:21" hidden="1" x14ac:dyDescent="0.35">
      <c r="C80" s="42"/>
      <c r="D80" s="9"/>
      <c r="F80" s="5"/>
      <c r="G80" s="9"/>
      <c r="J80" s="9"/>
      <c r="L80" s="5"/>
      <c r="M80" s="9"/>
      <c r="P80" s="1" t="s">
        <v>2</v>
      </c>
    </row>
    <row r="81" spans="1:22" hidden="1" x14ac:dyDescent="0.35">
      <c r="C81" s="42"/>
      <c r="D81" s="9"/>
      <c r="F81" s="5"/>
      <c r="G81" s="9"/>
      <c r="J81" s="9"/>
      <c r="L81" s="5"/>
      <c r="M81" s="9"/>
    </row>
    <row r="82" spans="1:22" hidden="1" x14ac:dyDescent="0.35">
      <c r="A82" s="204" t="s">
        <v>5</v>
      </c>
      <c r="B82" s="204" t="s">
        <v>12</v>
      </c>
      <c r="C82" s="204" t="s">
        <v>0</v>
      </c>
      <c r="D82" s="207" t="s">
        <v>31</v>
      </c>
      <c r="E82" s="207"/>
      <c r="F82" s="207"/>
      <c r="G82" s="207" t="s">
        <v>32</v>
      </c>
      <c r="H82" s="207"/>
      <c r="I82" s="207"/>
      <c r="J82" s="207" t="s">
        <v>33</v>
      </c>
      <c r="K82" s="207"/>
      <c r="L82" s="207"/>
      <c r="M82" s="207" t="s">
        <v>34</v>
      </c>
      <c r="N82" s="207"/>
      <c r="O82" s="207"/>
      <c r="P82" s="214" t="s">
        <v>35</v>
      </c>
      <c r="Q82" s="215"/>
      <c r="R82" s="216"/>
    </row>
    <row r="83" spans="1:22" hidden="1" x14ac:dyDescent="0.35">
      <c r="A83" s="204"/>
      <c r="B83" s="204"/>
      <c r="C83" s="204"/>
      <c r="D83" s="44" t="s">
        <v>17</v>
      </c>
      <c r="E83" s="44" t="s">
        <v>6</v>
      </c>
      <c r="F83" s="44" t="s">
        <v>3</v>
      </c>
      <c r="G83" s="44" t="s">
        <v>17</v>
      </c>
      <c r="H83" s="44" t="s">
        <v>6</v>
      </c>
      <c r="I83" s="44" t="s">
        <v>3</v>
      </c>
      <c r="J83" s="44" t="s">
        <v>17</v>
      </c>
      <c r="K83" s="44" t="s">
        <v>6</v>
      </c>
      <c r="L83" s="44" t="s">
        <v>3</v>
      </c>
      <c r="M83" s="44" t="s">
        <v>17</v>
      </c>
      <c r="N83" s="44" t="s">
        <v>6</v>
      </c>
      <c r="O83" s="44" t="s">
        <v>3</v>
      </c>
      <c r="P83" s="44" t="s">
        <v>17</v>
      </c>
      <c r="Q83" s="44" t="s">
        <v>6</v>
      </c>
      <c r="R83" s="44" t="s">
        <v>3</v>
      </c>
    </row>
    <row r="84" spans="1:22" hidden="1" x14ac:dyDescent="0.35">
      <c r="A84" s="204"/>
      <c r="B84" s="204"/>
      <c r="C84" s="204"/>
      <c r="D84" s="14"/>
      <c r="E84" s="14"/>
      <c r="F84" s="34"/>
      <c r="G84" s="14"/>
      <c r="H84" s="14"/>
      <c r="I84" s="36"/>
      <c r="J84" s="14"/>
      <c r="K84" s="14"/>
      <c r="L84" s="34"/>
      <c r="M84" s="14"/>
      <c r="N84" s="14"/>
      <c r="O84" s="34"/>
      <c r="P84" s="43"/>
      <c r="Q84" s="43"/>
      <c r="R84" s="35"/>
    </row>
    <row r="85" spans="1:22" ht="22" hidden="1" x14ac:dyDescent="0.35">
      <c r="A85" s="6">
        <v>1</v>
      </c>
      <c r="B85" s="38">
        <v>534600011</v>
      </c>
      <c r="C85" s="39" t="s">
        <v>44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2</v>
      </c>
      <c r="B86" s="38">
        <v>534600012</v>
      </c>
      <c r="C86" s="39" t="s">
        <v>45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3</v>
      </c>
      <c r="B87" s="38">
        <v>534600013</v>
      </c>
      <c r="C87" s="39" t="s">
        <v>46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</row>
    <row r="88" spans="1:22" ht="22" hidden="1" x14ac:dyDescent="0.35">
      <c r="A88" s="6">
        <v>4</v>
      </c>
      <c r="B88" s="38">
        <v>534600014</v>
      </c>
      <c r="C88" s="39" t="s">
        <v>47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5</v>
      </c>
      <c r="B89" s="38">
        <v>534600017</v>
      </c>
      <c r="C89" s="39" t="s">
        <v>48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t="22" hidden="1" x14ac:dyDescent="0.35">
      <c r="A90" s="6">
        <v>6</v>
      </c>
      <c r="B90" s="38">
        <v>534600018</v>
      </c>
      <c r="C90" s="39" t="s">
        <v>49</v>
      </c>
      <c r="D90" s="12"/>
      <c r="E90" s="8"/>
      <c r="F90" s="3"/>
      <c r="G90" s="12"/>
      <c r="H90" s="8"/>
      <c r="I90" s="3"/>
      <c r="J90" s="12"/>
      <c r="K90" s="8"/>
      <c r="L90" s="3"/>
      <c r="M90" s="17"/>
      <c r="N90" s="8"/>
      <c r="O90" s="3"/>
      <c r="P90" s="12"/>
      <c r="Q90" s="8"/>
      <c r="R90" s="3"/>
      <c r="V90" s="1" t="s">
        <v>2</v>
      </c>
    </row>
    <row r="91" spans="1:22" ht="22" hidden="1" x14ac:dyDescent="0.35">
      <c r="A91" s="6">
        <v>7</v>
      </c>
      <c r="B91" s="38">
        <v>534600019</v>
      </c>
      <c r="C91" s="39" t="s">
        <v>50</v>
      </c>
      <c r="D91" s="12"/>
      <c r="E91" s="8"/>
      <c r="F91" s="3"/>
      <c r="G91" s="12"/>
      <c r="H91" s="8"/>
      <c r="I91" s="3"/>
      <c r="J91" s="12"/>
      <c r="K91" s="8"/>
      <c r="L91" s="3"/>
      <c r="M91" s="17"/>
      <c r="N91" s="8"/>
      <c r="O91" s="3"/>
      <c r="P91" s="12"/>
      <c r="Q91" s="8"/>
      <c r="R91" s="3"/>
    </row>
    <row r="92" spans="1:22" ht="22" hidden="1" x14ac:dyDescent="0.35">
      <c r="A92" s="6">
        <v>8</v>
      </c>
      <c r="B92" s="38">
        <v>534600020</v>
      </c>
      <c r="C92" s="39" t="s">
        <v>51</v>
      </c>
      <c r="D92" s="12"/>
      <c r="E92" s="8"/>
      <c r="F92" s="3"/>
      <c r="G92" s="12"/>
      <c r="H92" s="8"/>
      <c r="I92" s="3"/>
      <c r="J92" s="12"/>
      <c r="K92" s="8"/>
      <c r="L92" s="3"/>
      <c r="M92" s="17"/>
      <c r="N92" s="8"/>
      <c r="O92" s="3"/>
      <c r="P92" s="12"/>
      <c r="Q92" s="8"/>
      <c r="R92" s="3"/>
    </row>
    <row r="93" spans="1:22" hidden="1" x14ac:dyDescent="0.35">
      <c r="C93" s="42" t="s">
        <v>13</v>
      </c>
      <c r="D93" s="9"/>
      <c r="G93" s="9"/>
      <c r="J93" s="9"/>
      <c r="M93" s="9"/>
      <c r="P93" s="9"/>
      <c r="U93" s="1" t="s">
        <v>2</v>
      </c>
    </row>
    <row r="94" spans="1:22" hidden="1" x14ac:dyDescent="0.35">
      <c r="C94" s="42" t="s">
        <v>14</v>
      </c>
      <c r="D94" s="9"/>
      <c r="F94" s="5"/>
      <c r="G94" s="9"/>
      <c r="J94" s="9"/>
      <c r="L94" s="5"/>
      <c r="M94" s="9"/>
      <c r="P94" s="9"/>
    </row>
    <row r="95" spans="1:22" hidden="1" x14ac:dyDescent="0.35">
      <c r="C95" s="42"/>
      <c r="D95" s="9"/>
      <c r="F95" s="5"/>
      <c r="G95" s="9"/>
      <c r="J95" s="9"/>
      <c r="L95" s="5"/>
      <c r="M95" s="9"/>
      <c r="P95" s="9"/>
      <c r="S95" s="2"/>
      <c r="T95" s="2"/>
    </row>
    <row r="96" spans="1:22" x14ac:dyDescent="0.35">
      <c r="C96" s="42"/>
      <c r="D96" s="9"/>
      <c r="F96" s="5"/>
      <c r="G96" s="9"/>
      <c r="J96" s="9"/>
      <c r="L96" s="5"/>
      <c r="M96" s="9"/>
      <c r="P96" s="9"/>
      <c r="S96" s="2" t="str">
        <f>IF($E$116="A","4",IF($E$116="B+","3.5",IF($E$116="B","3",IF($E$116="C+","2.5",IF($E$116="C","2",IF($E$116="D+","1.5",IF($E$116="D","1","-")))))))</f>
        <v>4</v>
      </c>
      <c r="T96" s="2" t="str">
        <f>IF(S96="4","A",IF(S96="3.5","B+",IF(S96="3","B",IF(S96="2.5","C+",IF(S96="2","C",IF(S96="1.5","D+",IF(S96="1","D","-")))))))</f>
        <v>A</v>
      </c>
    </row>
    <row r="97" spans="1:20" x14ac:dyDescent="0.35">
      <c r="C97" s="42"/>
      <c r="D97" s="9"/>
      <c r="F97" s="5"/>
      <c r="G97" s="9"/>
      <c r="S97" s="2">
        <f>$S$96-0.5</f>
        <v>3.5</v>
      </c>
      <c r="T97" s="2" t="str">
        <f>IF(S97=4,"A",IF(S97=3.5,"B+",IF(S97=3,"B",IF(S97=2.5,"C+",IF(S97=2,"C",IF(S97=1.5,"D+",IF(S97=1,"D","E")))))))</f>
        <v>B+</v>
      </c>
    </row>
    <row r="98" spans="1:20" ht="22" thickBot="1" x14ac:dyDescent="0.4">
      <c r="A98" s="217" t="s">
        <v>76</v>
      </c>
      <c r="B98" s="217" t="s">
        <v>12</v>
      </c>
      <c r="C98" s="217" t="s">
        <v>0</v>
      </c>
      <c r="D98" s="217" t="s">
        <v>1</v>
      </c>
      <c r="E98" s="217"/>
      <c r="F98" s="217"/>
      <c r="G98" s="217"/>
      <c r="I98" s="5" t="s">
        <v>38</v>
      </c>
      <c r="J98" s="9"/>
      <c r="L98" s="5"/>
      <c r="N98" s="5" t="s">
        <v>39</v>
      </c>
      <c r="P98" s="9"/>
      <c r="S98" s="2">
        <f>$S$96-1</f>
        <v>3</v>
      </c>
      <c r="T98" s="2" t="str">
        <f t="shared" ref="T98:T99" si="39">IF(S98=4,"A",IF(S98=3.5,"B+",IF(S98=3,"B",IF(S98=2.5,"C+",IF(S98=2,"C",IF(S98=1.5,"D+",IF(S98=1,"D","E")))))))</f>
        <v>B</v>
      </c>
    </row>
    <row r="99" spans="1:20" ht="22" thickBot="1" x14ac:dyDescent="0.4">
      <c r="A99" s="217"/>
      <c r="B99" s="217"/>
      <c r="C99" s="217"/>
      <c r="D99" s="30" t="str">
        <f>SUM(E7,H7,K7,N7,Q7,E22,H22,K22,N22,Q22,E38,H38,K38,N38,Q38,E54,H54,K54,N54,Q54,E69,H69,K69,N69,Q69,E84,H84,K84,N84,Q84)&amp;"%"</f>
        <v>100%</v>
      </c>
      <c r="E99" s="30" t="str">
        <f>SUM(F7,I7,L7,O7,R7,F22,I22,L22,O22,R22,F38,I38,L38,O38,R38,F54,I54,L54,O54,R54,F69,I69,L69,O69,R69,F84,I84,L84,O84,R84)&amp;"T"</f>
        <v>10T</v>
      </c>
      <c r="F99" s="44" t="s">
        <v>36</v>
      </c>
      <c r="G99" s="44" t="s">
        <v>37</v>
      </c>
      <c r="I99" s="25" t="s">
        <v>15</v>
      </c>
      <c r="J99" s="25" t="s">
        <v>16</v>
      </c>
      <c r="K99" s="25" t="s">
        <v>4</v>
      </c>
      <c r="L99" s="25" t="s">
        <v>1</v>
      </c>
      <c r="N99" s="25" t="s">
        <v>15</v>
      </c>
      <c r="O99" s="29"/>
      <c r="P99" s="25" t="s">
        <v>16</v>
      </c>
      <c r="Q99" s="25" t="s">
        <v>4</v>
      </c>
      <c r="R99" s="25" t="s">
        <v>1</v>
      </c>
      <c r="S99" s="2">
        <f>$S$96-1.5</f>
        <v>2.5</v>
      </c>
      <c r="T99" s="2" t="str">
        <f t="shared" si="39"/>
        <v>C+</v>
      </c>
    </row>
    <row r="100" spans="1:20" ht="22" x14ac:dyDescent="0.35">
      <c r="A100" s="48">
        <v>1</v>
      </c>
      <c r="B100" s="49">
        <v>5346000035</v>
      </c>
      <c r="C100" s="50" t="s">
        <v>90</v>
      </c>
      <c r="D100" s="51">
        <f t="shared" ref="D100:E106" si="40">ROUND(SUM(E8,H8,K8,N8,Q8,E23,H23,K23,N23,Q23,E39,H39,K39,N39,Q39,E55,H55,K55,N55,Q55,E70,H70,K70,N70,Q70,E85,H85,K85,N85,Q85),2)</f>
        <v>81.52</v>
      </c>
      <c r="E100" s="51">
        <f t="shared" si="40"/>
        <v>375.32</v>
      </c>
      <c r="F100" s="52" t="str">
        <f>IF($I$103="-","-",IF(E100&gt;=$I$100,$K$100,IF(E100&gt;=$I$101,$K$101,IF(E100&gt;=$I$102,$K$102,IF(E100&gt;=$I$103,$K$103,IF(E100&gt;=$I$104,$K$104,IF(E100&gt;=$I$105,$K$105,IF(E100&gt;=$I$106,$K$106,IF(E100&gt;=$I$107,$K$107)))))))))</f>
        <v>-</v>
      </c>
      <c r="G100" s="52" t="str">
        <f>IF($O$103="-","-",IF(E100&gt;=$N$100,$Q$100,IF(E100&gt;=$N$101,$Q$101,IF(E100&gt;=$N$102,$Q$102,IF(E100&gt;=$N$103,$Q$103,IF(E100&gt;=$N$104,$Q$104,IF(E100&gt;=$N$105,$Q$105,IF(E100&lt;=$P$106,$Q$106))))))))</f>
        <v>-</v>
      </c>
      <c r="I100" s="26" t="str">
        <f>IF(OR($E$114=8),$J$101+0.01,"-")</f>
        <v>-</v>
      </c>
      <c r="J100" s="26" t="str">
        <f>IF(OR($E$114=8),$I$100+$E$115,"-")</f>
        <v>-</v>
      </c>
      <c r="K100" s="27" t="str">
        <f>IF($E$114=8,$T$96,"-")</f>
        <v>-</v>
      </c>
      <c r="L100" s="27" t="str">
        <f t="shared" ref="L100:L106" si="41">IF(F100="-","-",COUNTIF($F$100:$F$108,K100))</f>
        <v>-</v>
      </c>
      <c r="M100" s="20" t="e">
        <f>IF($O$103="-",J100-I100,P100-N100)</f>
        <v>#VALUE!</v>
      </c>
      <c r="N100" s="26" t="str">
        <f>IF(OR($E$114=7),$P$101+0.01,"-")</f>
        <v>-</v>
      </c>
      <c r="O100" s="28"/>
      <c r="P100" s="26" t="str">
        <f>IF(OR($E$114=7),$N$100+$E$115,"-")</f>
        <v>-</v>
      </c>
      <c r="Q100" s="27" t="str">
        <f>IF($E$114=7,$T$96,"-")</f>
        <v>-</v>
      </c>
      <c r="R100" s="27" t="str">
        <f t="shared" ref="R100:R106" si="42">IF(G100="-","-",COUNTIF($G$100:$G$108,Q100))</f>
        <v>-</v>
      </c>
      <c r="S100" s="2">
        <f>$S$96-2</f>
        <v>2</v>
      </c>
      <c r="T100" s="2" t="str">
        <f>IF(S100=4,"A",IF(S100=3.5,"B+",IF(S100=3,"B",IF(S100=2.5,"C+",IF(S100=2,"C",IF(S100=1.5,"D+",IF(S100=1,"D","E")))))))</f>
        <v>C</v>
      </c>
    </row>
    <row r="101" spans="1:20" ht="22" x14ac:dyDescent="0.35">
      <c r="A101" s="6">
        <v>11</v>
      </c>
      <c r="B101" s="38">
        <v>5546000010</v>
      </c>
      <c r="C101" s="39" t="s">
        <v>91</v>
      </c>
      <c r="D101" s="8">
        <f t="shared" si="40"/>
        <v>84.64</v>
      </c>
      <c r="E101" s="8">
        <f t="shared" si="40"/>
        <v>462.08</v>
      </c>
      <c r="F101" s="7" t="str">
        <f t="shared" ref="F101:F108" si="43">IF($I$103="-","-",IF(E101&gt;=$I$100,$K$100,IF(E101&gt;=$I$101,$K$101,IF(E101&gt;=$I$102,$K$102,IF(E101&gt;=$I$103,$K$103,IF(E101&gt;=$I$104,$K$104,IF(E101&gt;=$I$105,$K$105,IF(E101&gt;=$I$106,$K$106,IF(E101&gt;=$I$107,$K$107)))))))))</f>
        <v>-</v>
      </c>
      <c r="G101" s="7" t="str">
        <f t="shared" ref="G101:G108" si="44">IF($O$103="-","-",IF(E101&gt;=$N$100,$Q$100,IF(E101&gt;=$N$101,$Q$101,IF(E101&gt;=$N$102,$Q$102,IF(E101&gt;=$N$103,$Q$103,IF(E101&gt;=$N$104,$Q$104,IF(E101&gt;=$N$105,$Q$105,IF(E101&lt;=$P$106,$Q$106))))))))</f>
        <v>B</v>
      </c>
      <c r="I101" s="8" t="str">
        <f>IF(OR($E$114=8,$E$114=6),$J$102+0.01,"-")</f>
        <v>-</v>
      </c>
      <c r="J101" s="8" t="str">
        <f>IF(OR($E$114=8,$E$114=6),$I$101+$E$115,"-")</f>
        <v>-</v>
      </c>
      <c r="K101" s="7" t="str">
        <f>IF($E$114=8,$T$97,IF($E$114=6,$T$96,"-"))</f>
        <v>-</v>
      </c>
      <c r="L101" s="7" t="str">
        <f t="shared" si="41"/>
        <v>-</v>
      </c>
      <c r="M101" s="20" t="e">
        <f t="shared" ref="M101:M107" si="45">IF($O$103="-",J101-I101,P101-N101)</f>
        <v>#VALUE!</v>
      </c>
      <c r="N101" s="8" t="str">
        <f>IF(OR($E$114=5,$E$114=7),$P$102+0.01,"-")</f>
        <v>-</v>
      </c>
      <c r="O101" s="13"/>
      <c r="P101" s="8" t="str">
        <f>IF(OR($E$114=5,$E$114=7),$N$101+$E$115,"-")</f>
        <v>-</v>
      </c>
      <c r="Q101" s="7" t="str">
        <f>IF($E$114=7,$T$97,IF($E$114=5,$T$96,"-"))</f>
        <v>-</v>
      </c>
      <c r="R101" s="7">
        <f t="shared" si="42"/>
        <v>1</v>
      </c>
      <c r="S101" s="2">
        <f>$S$96-2.5</f>
        <v>1.5</v>
      </c>
      <c r="T101" s="2" t="str">
        <f>IF(S101=4,"A",IF(S101=3.5,"B+",IF(S101=3,"B",IF(S101=2.5,"C+",IF(S101=2,"C",IF(S101=1.5,"D+",IF(S101=1,"D","E")))))))</f>
        <v>D+</v>
      </c>
    </row>
    <row r="102" spans="1:20" ht="22" x14ac:dyDescent="0.35">
      <c r="A102" s="6">
        <v>21</v>
      </c>
      <c r="B102" s="38">
        <v>5546000020</v>
      </c>
      <c r="C102" s="39" t="s">
        <v>92</v>
      </c>
      <c r="D102" s="8">
        <f t="shared" si="40"/>
        <v>84.97</v>
      </c>
      <c r="E102" s="8">
        <f t="shared" si="40"/>
        <v>461.35</v>
      </c>
      <c r="F102" s="7" t="str">
        <f t="shared" si="43"/>
        <v>-</v>
      </c>
      <c r="G102" s="7" t="str">
        <f t="shared" si="44"/>
        <v>B</v>
      </c>
      <c r="I102" s="6" t="str">
        <f>IF(OR($E$114=8,$E$114=6,$E$114=4),$J$103+0.01,"-")</f>
        <v>-</v>
      </c>
      <c r="J102" s="6" t="str">
        <f>IF(OR($E$114=8,$E$114=6,$E$114=4),$I$102+$E$115,"-")</f>
        <v>-</v>
      </c>
      <c r="K102" s="7" t="str">
        <f>IF($E$114=8,$T$98,IF($E$114=6,$T$97,IF($E$114=4,$T$96,"-")))</f>
        <v>-</v>
      </c>
      <c r="L102" s="7" t="str">
        <f t="shared" si="41"/>
        <v>-</v>
      </c>
      <c r="M102" s="20">
        <f t="shared" si="45"/>
        <v>71.009999999999991</v>
      </c>
      <c r="N102" s="8">
        <f>IF(OR($E$114=3,$E$114=5,$E$114=7),$P$103+0.01,"-")</f>
        <v>535.51499999999999</v>
      </c>
      <c r="O102" s="13"/>
      <c r="P102" s="8">
        <f>IF(OR($E$114=3,$E$114=5,$E$114=7),$N$102+$E$115,"-")</f>
        <v>606.52499999999998</v>
      </c>
      <c r="Q102" s="7" t="str">
        <f>IF($E$114=7,$T$98,IF($E$114=5,$T$97,IF($E$114=3,$T$96,"-")))</f>
        <v>A</v>
      </c>
      <c r="R102" s="7">
        <f t="shared" si="42"/>
        <v>2</v>
      </c>
      <c r="S102" s="2">
        <f>$S$96-3</f>
        <v>1</v>
      </c>
      <c r="T102" s="2" t="str">
        <f>IF(S102=4,"A",IF(S102=3.5,"B+",IF(S102=3,"B",IF(S102=2.5,"C+",IF(S102=2,"C",IF(S102=1.5,"D+",IF(S102=1,"D","E")))))))</f>
        <v>D</v>
      </c>
    </row>
    <row r="103" spans="1:20" ht="22" x14ac:dyDescent="0.35">
      <c r="A103" s="6">
        <v>31</v>
      </c>
      <c r="B103" s="38">
        <v>5546000030</v>
      </c>
      <c r="C103" s="39" t="s">
        <v>93</v>
      </c>
      <c r="D103" s="8">
        <f t="shared" si="40"/>
        <v>85.72</v>
      </c>
      <c r="E103" s="8">
        <f t="shared" si="40"/>
        <v>483.37</v>
      </c>
      <c r="F103" s="46" t="str">
        <f>IF($I$103="-","-",IF(E103&gt;=$I$100,$K$100,IF(E103&gt;=$I$101,$K$101,IF(E103&gt;=$I$102,$K$102,IF(E103&gt;=$I$103,$K$103,IF(E103&gt;=$I$104,$K$104,IF(E103&gt;=$I$105,$K$105,IF(E103&gt;=$I$106,$K$106,IF(E103&gt;=$I$107,$K$107)))))))))</f>
        <v>-</v>
      </c>
      <c r="G103" s="7" t="str">
        <f t="shared" si="44"/>
        <v>B+</v>
      </c>
      <c r="I103" s="31" t="str">
        <f>IF(OR($E$114=2,$E$114=4,$E$114=6,$E$114=8),$E$110,"-")</f>
        <v>-</v>
      </c>
      <c r="J103" s="8" t="str">
        <f>IF(OR($E$114=2,$E$114=4,$E$114=6,$E$114=8),$E$110+$E$115,"-")</f>
        <v>-</v>
      </c>
      <c r="K103" s="7" t="str">
        <f>IF($E$114=8,$T$99,IF($E$114=6,$T$98,IF($E$114=4,$T$97,IF($E$114=2,$T$96,"-"))))</f>
        <v>-</v>
      </c>
      <c r="L103" s="7" t="str">
        <f t="shared" si="41"/>
        <v>-</v>
      </c>
      <c r="M103" s="20">
        <f t="shared" si="45"/>
        <v>71.009999999999991</v>
      </c>
      <c r="N103" s="8">
        <f>IF(OR($E$114=1,$E$114=3,$E$114=5,$E$114=7),$E$110-($E$115/2),"-")</f>
        <v>464.495</v>
      </c>
      <c r="O103" s="31">
        <f>IF(OR($E$114=1,$E$114=3,$E$114=5,$E$114=7),$E$110,"-")</f>
        <v>500</v>
      </c>
      <c r="P103" s="8">
        <f>IF(OR($E$114=1,$E$114=3,$E$114=5,$E$114=7),$E$110+($E$115/2),"-")</f>
        <v>535.505</v>
      </c>
      <c r="Q103" s="7" t="str">
        <f>IF($E$114=7,$T$99,IF($E$114=5,$T$98,IF($E$114=3,$T$97,IF($E$114=1,$T$96,"-"))))</f>
        <v>B+</v>
      </c>
      <c r="R103" s="7">
        <f t="shared" si="42"/>
        <v>4</v>
      </c>
      <c r="S103" s="2">
        <f>$S$96-3.5</f>
        <v>0.5</v>
      </c>
      <c r="T103" s="2" t="str">
        <f>IF(S103=4,"A",IF(S103=3.5,"B+",IF(S103=3,"B",IF(S103=2.5,"C+",IF(S103=2,"C",IF(S103=1.5,"D+",IF(S103=1,"D","E")))))))</f>
        <v>E</v>
      </c>
    </row>
    <row r="104" spans="1:20" ht="22" x14ac:dyDescent="0.35">
      <c r="A104" s="6">
        <v>41</v>
      </c>
      <c r="B104" s="38">
        <v>5546000040</v>
      </c>
      <c r="C104" s="39" t="s">
        <v>94</v>
      </c>
      <c r="D104" s="8">
        <f t="shared" si="40"/>
        <v>86.2</v>
      </c>
      <c r="E104" s="8">
        <f t="shared" si="40"/>
        <v>499.37</v>
      </c>
      <c r="F104" s="7" t="str">
        <f t="shared" si="43"/>
        <v>-</v>
      </c>
      <c r="G104" s="7" t="str">
        <f t="shared" si="44"/>
        <v>B+</v>
      </c>
      <c r="I104" s="6" t="str">
        <f>IF(OR($E$114=2,$E$114=4,$E$114=6,$E$114=8),$J$104-$E$115,"-")</f>
        <v>-</v>
      </c>
      <c r="J104" s="8" t="str">
        <f>IF(OR($E$114=2,$E$114=4,$E$114=6,$E$114=8),$I$103-0.01,"-")</f>
        <v>-</v>
      </c>
      <c r="K104" s="7" t="str">
        <f>IF($E$114=8,$T$100,IF($E$114=6,$T$99,IF($E$114=4,$T$98,IF($E$114=2,$T$97,"-"))))</f>
        <v>-</v>
      </c>
      <c r="L104" s="7" t="str">
        <f t="shared" si="41"/>
        <v>-</v>
      </c>
      <c r="M104" s="20">
        <f t="shared" si="45"/>
        <v>71.009999999999991</v>
      </c>
      <c r="N104" s="8">
        <f>IF(OR($E$114=3,$E$114=5,$E$114=7),$P$104-$E$115,"-")</f>
        <v>393.47500000000002</v>
      </c>
      <c r="O104" s="13"/>
      <c r="P104" s="8">
        <f>IF(OR($E$114=3,$E$114=5,$E$114=7),$N$103-0.01,"-")</f>
        <v>464.48500000000001</v>
      </c>
      <c r="Q104" s="7" t="str">
        <f>IF($E$114=7,$T$100,IF($E$114=5,$T$99,IF($E$114=3,$T$98,"-")))</f>
        <v>B</v>
      </c>
      <c r="R104" s="7">
        <f t="shared" si="42"/>
        <v>2</v>
      </c>
      <c r="S104" s="2">
        <f>$S$96-4</f>
        <v>0</v>
      </c>
      <c r="T104" s="2" t="str">
        <f>IF(S104=4,"A",IF(S104=3.5,"B+",IF(S104=3,"B",IF(S104=2.5,"C+",IF(S104=2,"C",IF(S104=1.5,"D+",IF(S104=1,"D","E")))))))</f>
        <v>E</v>
      </c>
    </row>
    <row r="105" spans="1:20" ht="22" x14ac:dyDescent="0.35">
      <c r="A105" s="6">
        <v>51</v>
      </c>
      <c r="B105" s="38">
        <v>5546000050</v>
      </c>
      <c r="C105" s="39" t="s">
        <v>95</v>
      </c>
      <c r="D105" s="8">
        <f t="shared" si="40"/>
        <v>88.72</v>
      </c>
      <c r="E105" s="8">
        <f t="shared" si="40"/>
        <v>582.6</v>
      </c>
      <c r="F105" s="7" t="str">
        <f t="shared" si="43"/>
        <v>-</v>
      </c>
      <c r="G105" s="7" t="str">
        <f t="shared" si="44"/>
        <v>A</v>
      </c>
      <c r="I105" s="47" t="str">
        <f>IF(OR($E$114=4,$E$114=6,$E$114=8),$J$105-$E$115,"-")</f>
        <v>-</v>
      </c>
      <c r="J105" s="6" t="str">
        <f>IF(OR($E$114=8,$E$114=6,$E$114=4),$I$104-0.01,"-")</f>
        <v>-</v>
      </c>
      <c r="K105" s="7" t="str">
        <f>IF($E$114=8,$T$101,IF($E$114=6,$T$100,IF($E$114=4,$T$99,"-")))</f>
        <v>-</v>
      </c>
      <c r="L105" s="7" t="str">
        <f t="shared" si="41"/>
        <v>-</v>
      </c>
      <c r="M105" s="20" t="e">
        <f t="shared" si="45"/>
        <v>#VALUE!</v>
      </c>
      <c r="N105" s="8" t="str">
        <f>IF(OR($E$114=5,$E$114=7),$P$105-$E$115,"-")</f>
        <v>-</v>
      </c>
      <c r="O105" s="13"/>
      <c r="P105" s="8" t="str">
        <f>IF(OR($E$114=5,$E$114=7),$N$104-0.01,"-")</f>
        <v>-</v>
      </c>
      <c r="Q105" s="7" t="str">
        <f>IF($E$114=7,$T$101,IF($E$114=5,$T$100,"-"))</f>
        <v>-</v>
      </c>
      <c r="R105" s="7">
        <f t="shared" si="42"/>
        <v>1</v>
      </c>
    </row>
    <row r="106" spans="1:20" ht="23" thickBot="1" x14ac:dyDescent="0.4">
      <c r="A106" s="6">
        <v>61</v>
      </c>
      <c r="B106" s="38">
        <v>5546000060</v>
      </c>
      <c r="C106" s="39" t="s">
        <v>96</v>
      </c>
      <c r="D106" s="8">
        <f t="shared" si="40"/>
        <v>89.02</v>
      </c>
      <c r="E106" s="8">
        <f t="shared" si="40"/>
        <v>588.35</v>
      </c>
      <c r="F106" s="7" t="str">
        <f t="shared" si="43"/>
        <v>-</v>
      </c>
      <c r="G106" s="7" t="str">
        <f t="shared" si="44"/>
        <v>A</v>
      </c>
      <c r="I106" s="6" t="str">
        <f>IF(OR($E$114=6,$E$114=8),$J$106-$E$115,"-")</f>
        <v>-</v>
      </c>
      <c r="J106" s="6" t="str">
        <f>IF(OR($E$114=8,$E$114=6),$I$105-0.01,"-")</f>
        <v>-</v>
      </c>
      <c r="K106" s="7" t="str">
        <f>IF($E$114=8,$T$102,IF($E$114=6,$T$101,IF($E$114=4,"-","-")))</f>
        <v>-</v>
      </c>
      <c r="L106" s="7" t="str">
        <f t="shared" si="41"/>
        <v>-</v>
      </c>
      <c r="M106" s="20" t="e">
        <f t="shared" si="45"/>
        <v>#VALUE!</v>
      </c>
      <c r="N106" s="23" t="str">
        <f>IF(OR($E$114=7),$P$106-$E$115,"-")</f>
        <v>-</v>
      </c>
      <c r="O106" s="24"/>
      <c r="P106" s="23" t="str">
        <f>IF(OR($E$114=7),$N$105-0.01,"-")</f>
        <v>-</v>
      </c>
      <c r="Q106" s="22" t="str">
        <f>IF($E$114=7,$T$102,"-")</f>
        <v>-</v>
      </c>
      <c r="R106" s="7">
        <f t="shared" si="42"/>
        <v>1</v>
      </c>
    </row>
    <row r="107" spans="1:20" ht="23" thickBot="1" x14ac:dyDescent="0.4">
      <c r="A107" s="6">
        <v>71</v>
      </c>
      <c r="B107" s="38">
        <v>5546000070</v>
      </c>
      <c r="C107" s="39" t="s">
        <v>97</v>
      </c>
      <c r="D107" s="8">
        <f>ROUND(SUM(E15,H15,K15,N15,Q15,E30,H30,K30,N30,Q30,E46,H46,K46,N46,Q46,E61,H61,K61,N61,Q61,E76,H76,K76,N76,Q76,E91,H91,K91,N91,Q91),2)</f>
        <v>86.49</v>
      </c>
      <c r="E107" s="8">
        <f>ROUND(SUM(F15,I15,L15,O15,R15,F30,I30,L30,O30,R30,F46,I46,L46,O46,R46,F61,I61,L61,O61,R61,F76,I76,L76,O76,R76,F91,I91,L91,O91,R91),2)</f>
        <v>516.47</v>
      </c>
      <c r="F107" s="7" t="str">
        <f t="shared" ref="F107" si="46">IF($I$103="-","-",IF(E107&gt;=$I$100,$K$100,IF(E107&gt;=$I$101,$K$101,IF(E107&gt;=$I$102,$K$102,IF(E107&gt;=$I$103,$K$103,IF(E107&gt;=$I$104,$K$104,IF(E107&gt;=$I$105,$K$105,IF(E107&gt;=$I$106,$K$106,IF(E107&gt;=$I$107,$K$107)))))))))</f>
        <v>-</v>
      </c>
      <c r="G107" s="7" t="str">
        <f t="shared" ref="G107" si="47">IF($O$103="-","-",IF(E107&gt;=$N$100,$Q$100,IF(E107&gt;=$N$101,$Q$101,IF(E107&gt;=$N$102,$Q$102,IF(E107&gt;=$N$103,$Q$103,IF(E107&gt;=$N$104,$Q$104,IF(E107&gt;=$N$105,$Q$105,IF(E107&lt;=$P$106,$Q$106))))))))</f>
        <v>B+</v>
      </c>
      <c r="I107" s="21" t="str">
        <f>IF(OR($E$114=8),$J$107-$E$115,"-")</f>
        <v>-</v>
      </c>
      <c r="J107" s="21" t="str">
        <f>IF($E$114=8,$I$106-0.01,"-")</f>
        <v>-</v>
      </c>
      <c r="K107" s="22" t="str">
        <f>IF($E$114=8,$T$103,IF($E$114=6,"-","-"))</f>
        <v>-</v>
      </c>
      <c r="L107" s="7" t="str">
        <f>IF(F108="-","-",COUNTIF($F$100:$F$108,K107))</f>
        <v>-</v>
      </c>
      <c r="M107" s="20" t="e">
        <f t="shared" si="45"/>
        <v>#VALUE!</v>
      </c>
      <c r="N107" s="218" t="s">
        <v>1</v>
      </c>
      <c r="O107" s="219"/>
      <c r="P107" s="219"/>
      <c r="Q107" s="220"/>
      <c r="R107" s="33">
        <f>SUM($R$100:$R$106)</f>
        <v>11</v>
      </c>
    </row>
    <row r="108" spans="1:20" ht="23" thickBot="1" x14ac:dyDescent="0.4">
      <c r="A108" s="6">
        <v>81</v>
      </c>
      <c r="B108" s="38">
        <v>5546000080</v>
      </c>
      <c r="C108" s="39" t="s">
        <v>98</v>
      </c>
      <c r="D108" s="8">
        <f>ROUND(SUM(E16,H16,K16,N16,Q16,E31,H31,K31,N31,Q31,E47,H47,K47,N47,Q47,E62,H62,K62,N62,Q62,E77,H77,K77,N77,Q77,E92,H92,K92,N92,Q92),2)</f>
        <v>87</v>
      </c>
      <c r="E108" s="8">
        <f>ROUND(SUM(F16,I16,L16,O16,R16,F31,I31,L31,O31,R31,F47,I47,L47,O47,R47,F62,I62,L62,O62,R62,F77,I77,L77,O77,R77,F92,I92,L92,O92,R92),2)</f>
        <v>531.09</v>
      </c>
      <c r="F108" s="7" t="str">
        <f t="shared" si="43"/>
        <v>-</v>
      </c>
      <c r="G108" s="7" t="str">
        <f t="shared" si="44"/>
        <v>B+</v>
      </c>
      <c r="I108" s="218" t="s">
        <v>1</v>
      </c>
      <c r="J108" s="219"/>
      <c r="K108" s="220"/>
      <c r="L108" s="33">
        <f>SUM($L$100:$L$107)</f>
        <v>0</v>
      </c>
    </row>
    <row r="109" spans="1:20" x14ac:dyDescent="0.35">
      <c r="B109" s="18"/>
      <c r="C109" s="10"/>
      <c r="D109" s="19"/>
      <c r="E109" s="19"/>
    </row>
    <row r="110" spans="1:20" x14ac:dyDescent="0.35">
      <c r="C110" s="4" t="s">
        <v>13</v>
      </c>
      <c r="D110" s="37">
        <f>ROUND(AVERAGE($D$100:$D$108),2)</f>
        <v>86.03</v>
      </c>
      <c r="E110" s="37">
        <f>ROUND(AVERAGE($E$100:$E$108),2)</f>
        <v>500</v>
      </c>
      <c r="I110" s="45"/>
      <c r="J110" s="45"/>
    </row>
    <row r="111" spans="1:20" x14ac:dyDescent="0.35">
      <c r="C111" s="4" t="s">
        <v>18</v>
      </c>
      <c r="D111" s="37">
        <f>ROUND(MAX($D$100:$D$108),2)</f>
        <v>89.02</v>
      </c>
      <c r="E111" s="37">
        <f>ROUND(MAX($E$100:$E$108),2)</f>
        <v>588.35</v>
      </c>
      <c r="I111" s="45"/>
      <c r="J111" s="45"/>
      <c r="K111" s="45"/>
      <c r="L111" s="1" t="s">
        <v>2</v>
      </c>
    </row>
    <row r="112" spans="1:20" x14ac:dyDescent="0.35">
      <c r="C112" s="4" t="s">
        <v>19</v>
      </c>
      <c r="D112" s="37">
        <f>ROUND(MIN($D$100:$D$108),2)</f>
        <v>81.52</v>
      </c>
      <c r="E112" s="37">
        <f>ROUND(MIN($E$100:$E$108),2)</f>
        <v>375.32</v>
      </c>
      <c r="G112" s="1" t="s">
        <v>2</v>
      </c>
      <c r="I112" s="45"/>
      <c r="J112" s="45"/>
      <c r="K112" s="45"/>
    </row>
    <row r="113" spans="3:18" x14ac:dyDescent="0.35">
      <c r="C113" s="16" t="s">
        <v>20</v>
      </c>
      <c r="D113" s="4"/>
      <c r="E113" s="37">
        <f>ROUND($E$111-$E$112,2)</f>
        <v>213.03</v>
      </c>
      <c r="I113" s="45"/>
      <c r="J113" s="45"/>
    </row>
    <row r="114" spans="3:18" x14ac:dyDescent="0.35">
      <c r="C114" s="16" t="s">
        <v>7</v>
      </c>
      <c r="D114" s="4"/>
      <c r="E114" s="32">
        <v>3</v>
      </c>
      <c r="F114" s="1" t="s">
        <v>40</v>
      </c>
      <c r="N114" s="202" t="s">
        <v>42</v>
      </c>
      <c r="O114" s="202"/>
      <c r="P114" s="202"/>
      <c r="Q114" s="202"/>
      <c r="R114" s="202"/>
    </row>
    <row r="115" spans="3:18" x14ac:dyDescent="0.35">
      <c r="C115" s="16" t="s">
        <v>9</v>
      </c>
      <c r="D115" s="4"/>
      <c r="E115" s="37">
        <f>ROUND($E$113/$E$114,2)</f>
        <v>71.010000000000005</v>
      </c>
      <c r="N115" s="202" t="s">
        <v>11</v>
      </c>
      <c r="O115" s="202"/>
      <c r="P115" s="202"/>
      <c r="Q115" s="202"/>
      <c r="R115" s="202"/>
    </row>
    <row r="116" spans="3:18" x14ac:dyDescent="0.35">
      <c r="C116" s="16" t="s">
        <v>10</v>
      </c>
      <c r="D116" s="4"/>
      <c r="E116" s="32" t="s">
        <v>8</v>
      </c>
      <c r="F116" s="1" t="s">
        <v>41</v>
      </c>
      <c r="N116" s="221" t="s">
        <v>43</v>
      </c>
      <c r="O116" s="221"/>
      <c r="P116" s="221"/>
      <c r="Q116" s="221"/>
      <c r="R116" s="221"/>
    </row>
  </sheetData>
  <mergeCells count="63"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  <mergeCell ref="D19:R19"/>
    <mergeCell ref="A20:A22"/>
    <mergeCell ref="B20:B22"/>
    <mergeCell ref="C20:C22"/>
    <mergeCell ref="D20:F20"/>
    <mergeCell ref="G20:I20"/>
    <mergeCell ref="J20:L20"/>
    <mergeCell ref="M20:O20"/>
    <mergeCell ref="P20:R20"/>
    <mergeCell ref="D35:F35"/>
    <mergeCell ref="A36:A38"/>
    <mergeCell ref="B36:B38"/>
    <mergeCell ref="C36:C38"/>
    <mergeCell ref="D36:F36"/>
    <mergeCell ref="G36:I36"/>
    <mergeCell ref="J36:L36"/>
    <mergeCell ref="M36:O36"/>
    <mergeCell ref="P36:R36"/>
    <mergeCell ref="M52:O52"/>
    <mergeCell ref="P52:R52"/>
    <mergeCell ref="J67:L67"/>
    <mergeCell ref="M67:O67"/>
    <mergeCell ref="P67:R67"/>
    <mergeCell ref="A52:A54"/>
    <mergeCell ref="B52:B54"/>
    <mergeCell ref="C52:C54"/>
    <mergeCell ref="D52:F52"/>
    <mergeCell ref="G52:I52"/>
    <mergeCell ref="J52:L52"/>
    <mergeCell ref="A67:A69"/>
    <mergeCell ref="B67:B69"/>
    <mergeCell ref="C67:C69"/>
    <mergeCell ref="D67:F67"/>
    <mergeCell ref="G67:I67"/>
    <mergeCell ref="M82:O82"/>
    <mergeCell ref="P82:R82"/>
    <mergeCell ref="A98:A99"/>
    <mergeCell ref="B98:B99"/>
    <mergeCell ref="C98:C99"/>
    <mergeCell ref="D98:G98"/>
    <mergeCell ref="A82:A84"/>
    <mergeCell ref="B82:B84"/>
    <mergeCell ref="C82:C84"/>
    <mergeCell ref="D82:F82"/>
    <mergeCell ref="G82:I82"/>
    <mergeCell ref="J82:L82"/>
    <mergeCell ref="N107:Q107"/>
    <mergeCell ref="I108:K108"/>
    <mergeCell ref="N114:R114"/>
    <mergeCell ref="N115:R115"/>
    <mergeCell ref="N116:R116"/>
  </mergeCells>
  <pageMargins left="0.70866141732283472" right="0.70866141732283472" top="0.31496062992125984" bottom="0.19685039370078741" header="0.31496062992125984" footer="0.19685039370078741"/>
  <pageSetup paperSize="9" scale="79" orientation="landscape" r:id="rId1"/>
  <rowBreaks count="3" manualBreakCount="3">
    <brk id="34" max="16383" man="1"/>
    <brk id="65" max="17" man="1"/>
    <brk id="95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6"/>
  <sheetViews>
    <sheetView view="pageBreakPreview" topLeftCell="A5" zoomScale="90" zoomScaleNormal="90" zoomScaleSheetLayoutView="90" workbookViewId="0">
      <selection activeCell="F108" sqref="F108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100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1</v>
      </c>
      <c r="B8" s="38">
        <v>5346000035</v>
      </c>
      <c r="C8" s="39" t="s">
        <v>90</v>
      </c>
      <c r="D8" s="58">
        <v>65</v>
      </c>
      <c r="E8" s="8">
        <f>(D8*$E$7)/$D$7</f>
        <v>17.333333333333332</v>
      </c>
      <c r="F8" s="3">
        <f t="shared" ref="F8:F16" si="0">IF($D$18=0,50,(50+(10*(STANDARDIZE(D8,$D$17,$D$18)))))*$F$7</f>
        <v>85.379138266891445</v>
      </c>
      <c r="G8" s="58">
        <v>26</v>
      </c>
      <c r="H8" s="8">
        <f>(G8*$H$7)/$G$7</f>
        <v>8.6666666666666661</v>
      </c>
      <c r="I8" s="3">
        <f t="shared" ref="I8:I16" si="1">IF($G$18=0,50,(50+(10*(STANDARDIZE(G8,$G$17,$G$18)))))*$I$7</f>
        <v>35.857864376269049</v>
      </c>
      <c r="J8" s="12">
        <v>42</v>
      </c>
      <c r="K8" s="8">
        <f>(J8*$K$7)/$J$7</f>
        <v>4.2</v>
      </c>
      <c r="L8" s="3">
        <f t="shared" ref="L8:L16" si="2">IF($J$18=0,50,(50+(10*(STANDARDIZE(J8,$J$17,$J$18)))))*$L$7</f>
        <v>19.179747535253512</v>
      </c>
      <c r="M8" s="58">
        <v>77</v>
      </c>
      <c r="N8" s="8">
        <f>(M8*$N$7)/$M$7</f>
        <v>7.7</v>
      </c>
      <c r="O8" s="3">
        <f t="shared" ref="O8:O16" si="3">IF($M$18=0,50,(50+(10*(STANDARDIZE(M8,$M$17,$M$18)))))*$O$7</f>
        <v>34.462051190953204</v>
      </c>
      <c r="P8" s="12">
        <v>43</v>
      </c>
      <c r="Q8" s="8">
        <f>(P8*$Q$7)/$P$7</f>
        <v>8.6</v>
      </c>
      <c r="R8" s="3">
        <f t="shared" ref="R8:R16" si="4">IF($P$18=0,50,(50+(10*(STANDARDIZE(P8,$P$17,$P$18)))))*$R$7</f>
        <v>35.333333333333343</v>
      </c>
    </row>
    <row r="9" spans="1:22" ht="22" x14ac:dyDescent="0.35">
      <c r="A9" s="6">
        <v>11</v>
      </c>
      <c r="B9" s="38">
        <v>5546000010</v>
      </c>
      <c r="C9" s="39" t="s">
        <v>91</v>
      </c>
      <c r="D9" s="12">
        <v>65</v>
      </c>
      <c r="E9" s="8">
        <f t="shared" ref="E9:E16" si="5">(D9*$E$7)/$D$7</f>
        <v>17.333333333333332</v>
      </c>
      <c r="F9" s="3">
        <f t="shared" si="0"/>
        <v>85.379138266891445</v>
      </c>
      <c r="G9" s="12">
        <v>27</v>
      </c>
      <c r="H9" s="8">
        <f t="shared" ref="H9:H16" si="6">(G9*$H$7)/$G$7</f>
        <v>9</v>
      </c>
      <c r="I9" s="3">
        <f t="shared" si="1"/>
        <v>50</v>
      </c>
      <c r="J9" s="12">
        <v>43</v>
      </c>
      <c r="K9" s="8">
        <f t="shared" ref="K9:K16" si="7">(J9*$K$7)/$J$7</f>
        <v>4.3</v>
      </c>
      <c r="L9" s="3">
        <f t="shared" si="2"/>
        <v>21.275038422562247</v>
      </c>
      <c r="M9" s="12">
        <v>80</v>
      </c>
      <c r="N9" s="8">
        <f t="shared" ref="N9:N16" si="8">(M9*$N$7)/$M$7</f>
        <v>8</v>
      </c>
      <c r="O9" s="3">
        <f t="shared" si="3"/>
        <v>43.023778085734094</v>
      </c>
      <c r="P9" s="12">
        <v>44</v>
      </c>
      <c r="Q9" s="8">
        <f t="shared" ref="Q9:Q16" si="9">(P9*$Q$7)/$P$7</f>
        <v>8.8000000000000007</v>
      </c>
      <c r="R9" s="3">
        <f t="shared" si="4"/>
        <v>47.333333333333343</v>
      </c>
      <c r="V9" s="1" t="s">
        <v>2</v>
      </c>
    </row>
    <row r="10" spans="1:22" ht="22" x14ac:dyDescent="0.35">
      <c r="A10" s="6">
        <v>21</v>
      </c>
      <c r="B10" s="38">
        <v>5546000020</v>
      </c>
      <c r="C10" s="39" t="s">
        <v>92</v>
      </c>
      <c r="D10" s="12">
        <v>65</v>
      </c>
      <c r="E10" s="8">
        <f t="shared" si="5"/>
        <v>17.333333333333332</v>
      </c>
      <c r="F10" s="3">
        <f t="shared" si="0"/>
        <v>85.379138266891445</v>
      </c>
      <c r="G10" s="12">
        <v>26</v>
      </c>
      <c r="H10" s="8">
        <f t="shared" si="6"/>
        <v>8.6666666666666661</v>
      </c>
      <c r="I10" s="3">
        <f t="shared" si="1"/>
        <v>35.857864376269049</v>
      </c>
      <c r="J10" s="12">
        <v>43</v>
      </c>
      <c r="K10" s="8">
        <f t="shared" si="7"/>
        <v>4.3</v>
      </c>
      <c r="L10" s="3">
        <f t="shared" si="2"/>
        <v>21.275038422562247</v>
      </c>
      <c r="M10" s="12">
        <v>80</v>
      </c>
      <c r="N10" s="8">
        <f t="shared" si="8"/>
        <v>8</v>
      </c>
      <c r="O10" s="3">
        <f t="shared" si="3"/>
        <v>43.023778085734094</v>
      </c>
      <c r="P10" s="12">
        <v>44</v>
      </c>
      <c r="Q10" s="8">
        <f t="shared" si="9"/>
        <v>8.8000000000000007</v>
      </c>
      <c r="R10" s="3">
        <f t="shared" si="4"/>
        <v>47.333333333333343</v>
      </c>
    </row>
    <row r="11" spans="1:22" ht="22" x14ac:dyDescent="0.35">
      <c r="A11" s="6">
        <v>31</v>
      </c>
      <c r="B11" s="38">
        <v>5546000030</v>
      </c>
      <c r="C11" s="39" t="s">
        <v>93</v>
      </c>
      <c r="D11" s="12">
        <v>65</v>
      </c>
      <c r="E11" s="8">
        <f t="shared" si="5"/>
        <v>17.333333333333332</v>
      </c>
      <c r="F11" s="3">
        <f t="shared" si="0"/>
        <v>85.379138266891445</v>
      </c>
      <c r="G11" s="12">
        <v>27</v>
      </c>
      <c r="H11" s="8">
        <f t="shared" si="6"/>
        <v>9</v>
      </c>
      <c r="I11" s="3">
        <f t="shared" si="1"/>
        <v>50</v>
      </c>
      <c r="J11" s="12">
        <v>42</v>
      </c>
      <c r="K11" s="8">
        <f t="shared" si="7"/>
        <v>4.2</v>
      </c>
      <c r="L11" s="3">
        <f t="shared" si="2"/>
        <v>19.179747535253512</v>
      </c>
      <c r="M11" s="12">
        <v>82</v>
      </c>
      <c r="N11" s="8">
        <f t="shared" si="8"/>
        <v>8.1999999999999993</v>
      </c>
      <c r="O11" s="3">
        <f t="shared" si="3"/>
        <v>48.731596015588018</v>
      </c>
      <c r="P11" s="12">
        <v>43</v>
      </c>
      <c r="Q11" s="8">
        <f t="shared" si="9"/>
        <v>8.6</v>
      </c>
      <c r="R11" s="3">
        <f t="shared" si="4"/>
        <v>35.333333333333343</v>
      </c>
      <c r="V11" s="1" t="s">
        <v>2</v>
      </c>
    </row>
    <row r="12" spans="1:22" ht="22" x14ac:dyDescent="0.35">
      <c r="A12" s="6">
        <v>41</v>
      </c>
      <c r="B12" s="38">
        <v>5546000040</v>
      </c>
      <c r="C12" s="39" t="s">
        <v>94</v>
      </c>
      <c r="D12" s="12">
        <v>67</v>
      </c>
      <c r="E12" s="8">
        <f t="shared" si="5"/>
        <v>17.866666666666667</v>
      </c>
      <c r="F12" s="3">
        <f t="shared" si="0"/>
        <v>104.17738906660243</v>
      </c>
      <c r="G12" s="12">
        <v>27</v>
      </c>
      <c r="H12" s="8">
        <f t="shared" si="6"/>
        <v>9</v>
      </c>
      <c r="I12" s="3">
        <f t="shared" si="1"/>
        <v>50</v>
      </c>
      <c r="J12" s="12">
        <v>46</v>
      </c>
      <c r="K12" s="8">
        <f t="shared" si="7"/>
        <v>4.5999999999999996</v>
      </c>
      <c r="L12" s="3">
        <f t="shared" si="2"/>
        <v>27.560911084488453</v>
      </c>
      <c r="M12" s="12">
        <v>80</v>
      </c>
      <c r="N12" s="8">
        <f t="shared" si="8"/>
        <v>8</v>
      </c>
      <c r="O12" s="3">
        <f t="shared" si="3"/>
        <v>43.023778085734094</v>
      </c>
      <c r="P12" s="12">
        <v>44</v>
      </c>
      <c r="Q12" s="8">
        <f t="shared" si="9"/>
        <v>8.8000000000000007</v>
      </c>
      <c r="R12" s="3">
        <f t="shared" si="4"/>
        <v>47.333333333333343</v>
      </c>
    </row>
    <row r="13" spans="1:22" ht="22" x14ac:dyDescent="0.35">
      <c r="A13" s="6">
        <v>51</v>
      </c>
      <c r="B13" s="38">
        <v>5546000050</v>
      </c>
      <c r="C13" s="39" t="s">
        <v>95</v>
      </c>
      <c r="D13" s="12">
        <v>70</v>
      </c>
      <c r="E13" s="8">
        <f t="shared" si="5"/>
        <v>18.666666666666668</v>
      </c>
      <c r="F13" s="3">
        <f t="shared" si="0"/>
        <v>132.37476526616888</v>
      </c>
      <c r="G13" s="12">
        <v>28</v>
      </c>
      <c r="H13" s="8">
        <f t="shared" si="6"/>
        <v>9.3333333333333339</v>
      </c>
      <c r="I13" s="3">
        <f t="shared" si="1"/>
        <v>64.142135623730951</v>
      </c>
      <c r="J13" s="12">
        <v>48</v>
      </c>
      <c r="K13" s="8">
        <f t="shared" si="7"/>
        <v>4.8</v>
      </c>
      <c r="L13" s="3">
        <f t="shared" si="2"/>
        <v>31.751492859105923</v>
      </c>
      <c r="M13" s="12">
        <v>85</v>
      </c>
      <c r="N13" s="8">
        <f t="shared" si="8"/>
        <v>8.5</v>
      </c>
      <c r="O13" s="3">
        <f t="shared" si="3"/>
        <v>57.293322910368914</v>
      </c>
      <c r="P13" s="12">
        <v>45</v>
      </c>
      <c r="Q13" s="8">
        <f t="shared" si="9"/>
        <v>9</v>
      </c>
      <c r="R13" s="3">
        <f t="shared" si="4"/>
        <v>59.333333333333343</v>
      </c>
    </row>
    <row r="14" spans="1:22" ht="22" x14ac:dyDescent="0.35">
      <c r="A14" s="6">
        <v>61</v>
      </c>
      <c r="B14" s="38">
        <v>5546000060</v>
      </c>
      <c r="C14" s="39" t="s">
        <v>96</v>
      </c>
      <c r="D14" s="12">
        <v>70</v>
      </c>
      <c r="E14" s="8">
        <f t="shared" si="5"/>
        <v>18.666666666666668</v>
      </c>
      <c r="F14" s="3">
        <f t="shared" si="0"/>
        <v>132.37476526616888</v>
      </c>
      <c r="G14" s="12">
        <v>28</v>
      </c>
      <c r="H14" s="8">
        <f t="shared" si="6"/>
        <v>9.3333333333333339</v>
      </c>
      <c r="I14" s="3">
        <f t="shared" si="1"/>
        <v>64.142135623730951</v>
      </c>
      <c r="J14" s="12">
        <v>48</v>
      </c>
      <c r="K14" s="8">
        <f t="shared" si="7"/>
        <v>4.8</v>
      </c>
      <c r="L14" s="3">
        <f t="shared" si="2"/>
        <v>31.751492859105923</v>
      </c>
      <c r="M14" s="12">
        <v>88</v>
      </c>
      <c r="N14" s="8">
        <f t="shared" si="8"/>
        <v>8.8000000000000007</v>
      </c>
      <c r="O14" s="3">
        <f t="shared" si="3"/>
        <v>65.855049805149804</v>
      </c>
      <c r="P14" s="12">
        <v>45</v>
      </c>
      <c r="Q14" s="8">
        <f t="shared" si="9"/>
        <v>9</v>
      </c>
      <c r="R14" s="3">
        <f t="shared" si="4"/>
        <v>59.333333333333343</v>
      </c>
    </row>
    <row r="15" spans="1:22" ht="22" x14ac:dyDescent="0.35">
      <c r="A15" s="6">
        <v>71</v>
      </c>
      <c r="B15" s="38">
        <v>5546000070</v>
      </c>
      <c r="C15" s="39" t="s">
        <v>97</v>
      </c>
      <c r="D15" s="12">
        <v>65</v>
      </c>
      <c r="E15" s="8">
        <f t="shared" si="5"/>
        <v>17.333333333333332</v>
      </c>
      <c r="F15" s="3">
        <f t="shared" si="0"/>
        <v>85.379138266891445</v>
      </c>
      <c r="G15" s="12">
        <v>27</v>
      </c>
      <c r="H15" s="8">
        <f t="shared" si="6"/>
        <v>9</v>
      </c>
      <c r="I15" s="3">
        <f t="shared" si="1"/>
        <v>50</v>
      </c>
      <c r="J15" s="12">
        <v>46</v>
      </c>
      <c r="K15" s="8">
        <f t="shared" si="7"/>
        <v>4.5999999999999996</v>
      </c>
      <c r="L15" s="3">
        <f t="shared" si="2"/>
        <v>27.560911084488453</v>
      </c>
      <c r="M15" s="12">
        <v>85</v>
      </c>
      <c r="N15" s="8">
        <f t="shared" si="8"/>
        <v>8.5</v>
      </c>
      <c r="O15" s="3">
        <f t="shared" si="3"/>
        <v>57.293322910368914</v>
      </c>
      <c r="P15" s="12">
        <v>45</v>
      </c>
      <c r="Q15" s="8">
        <f t="shared" si="9"/>
        <v>9</v>
      </c>
      <c r="R15" s="3">
        <f t="shared" si="4"/>
        <v>59.333333333333343</v>
      </c>
    </row>
    <row r="16" spans="1:22" ht="22" x14ac:dyDescent="0.35">
      <c r="A16" s="6">
        <v>81</v>
      </c>
      <c r="B16" s="38">
        <v>5546000080</v>
      </c>
      <c r="C16" s="39" t="s">
        <v>98</v>
      </c>
      <c r="D16" s="12">
        <v>67</v>
      </c>
      <c r="E16" s="8">
        <f t="shared" si="5"/>
        <v>17.866666666666667</v>
      </c>
      <c r="F16" s="3">
        <f t="shared" si="0"/>
        <v>104.17738906660243</v>
      </c>
      <c r="G16" s="12">
        <v>27</v>
      </c>
      <c r="H16" s="8">
        <f t="shared" si="6"/>
        <v>9</v>
      </c>
      <c r="I16" s="3">
        <f t="shared" si="1"/>
        <v>50</v>
      </c>
      <c r="J16" s="12">
        <v>45</v>
      </c>
      <c r="K16" s="8">
        <f t="shared" si="7"/>
        <v>4.5</v>
      </c>
      <c r="L16" s="3">
        <f t="shared" si="2"/>
        <v>25.465620197179717</v>
      </c>
      <c r="M16" s="12">
        <v>85</v>
      </c>
      <c r="N16" s="8">
        <f t="shared" si="8"/>
        <v>8.5</v>
      </c>
      <c r="O16" s="3">
        <f t="shared" si="3"/>
        <v>57.293322910368914</v>
      </c>
      <c r="P16" s="12">
        <v>45</v>
      </c>
      <c r="Q16" s="8">
        <f t="shared" si="9"/>
        <v>9</v>
      </c>
      <c r="R16" s="3">
        <f t="shared" si="4"/>
        <v>59.333333333333343</v>
      </c>
    </row>
    <row r="17" spans="1:19" ht="18" customHeight="1" x14ac:dyDescent="0.35">
      <c r="C17" s="42" t="s">
        <v>13</v>
      </c>
      <c r="D17" s="9">
        <f>AVERAGE($D$8:$D$16)</f>
        <v>66.555555555555557</v>
      </c>
      <c r="E17" s="2"/>
      <c r="F17" s="2"/>
      <c r="G17" s="9">
        <f>AVERAGE($G$8:$G$16)</f>
        <v>27</v>
      </c>
      <c r="J17" s="9">
        <f>AVERAGE($J$8:$J$16)</f>
        <v>44.777777777777779</v>
      </c>
      <c r="M17" s="9">
        <f>AVERAGE($M$8:$M$16)</f>
        <v>82.444444444444443</v>
      </c>
      <c r="P17" s="9">
        <f>AVERAGE($P$8:$P$16)</f>
        <v>44.222222222222221</v>
      </c>
    </row>
    <row r="18" spans="1:19" ht="18" customHeight="1" x14ac:dyDescent="0.35">
      <c r="C18" s="42" t="s">
        <v>14</v>
      </c>
      <c r="D18" s="9">
        <f>STDEV($D$8:$D$16)</f>
        <v>2.1278575558006176</v>
      </c>
      <c r="E18" s="2"/>
      <c r="F18" s="2"/>
      <c r="G18" s="9">
        <f>STDEV($G$8:$G$16)</f>
        <v>0.70710678118654757</v>
      </c>
      <c r="J18" s="9">
        <f>STDEV($J$8:$J$16)</f>
        <v>2.3863035105460586</v>
      </c>
      <c r="M18" s="9">
        <f>STDEV(M8:M16)</f>
        <v>3.5039660069381067</v>
      </c>
      <c r="P18" s="9">
        <f>STDEV(P8:P16)</f>
        <v>0.83333333333333326</v>
      </c>
    </row>
    <row r="19" spans="1:19" ht="18" customHeight="1" x14ac:dyDescent="0.35">
      <c r="C19" s="42"/>
      <c r="D19" s="206" t="s">
        <v>89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19" ht="18" customHeight="1" x14ac:dyDescent="0.35">
      <c r="A20" s="204" t="s">
        <v>76</v>
      </c>
      <c r="B20" s="204" t="s">
        <v>12</v>
      </c>
      <c r="C20" s="204" t="s">
        <v>0</v>
      </c>
      <c r="D20" s="207" t="s">
        <v>60</v>
      </c>
      <c r="E20" s="207"/>
      <c r="F20" s="207"/>
      <c r="G20" s="207" t="s">
        <v>61</v>
      </c>
      <c r="H20" s="207"/>
      <c r="I20" s="207"/>
      <c r="J20" s="207" t="s">
        <v>62</v>
      </c>
      <c r="K20" s="207"/>
      <c r="L20" s="207"/>
      <c r="M20" s="207" t="s">
        <v>63</v>
      </c>
      <c r="N20" s="207"/>
      <c r="O20" s="207"/>
      <c r="P20" s="207" t="s">
        <v>64</v>
      </c>
      <c r="Q20" s="207"/>
      <c r="R20" s="207"/>
    </row>
    <row r="21" spans="1:19" x14ac:dyDescent="0.35">
      <c r="A21" s="204"/>
      <c r="B21" s="204"/>
      <c r="C21" s="204"/>
      <c r="D21" s="44" t="s">
        <v>17</v>
      </c>
      <c r="E21" s="44" t="s">
        <v>6</v>
      </c>
      <c r="F21" s="44" t="s">
        <v>3</v>
      </c>
      <c r="G21" s="44" t="s">
        <v>17</v>
      </c>
      <c r="H21" s="44" t="s">
        <v>6</v>
      </c>
      <c r="I21" s="44" t="s">
        <v>3</v>
      </c>
      <c r="J21" s="44" t="s">
        <v>17</v>
      </c>
      <c r="K21" s="44" t="s">
        <v>6</v>
      </c>
      <c r="L21" s="44" t="s">
        <v>3</v>
      </c>
      <c r="M21" s="44" t="s">
        <v>17</v>
      </c>
      <c r="N21" s="44" t="s">
        <v>6</v>
      </c>
      <c r="O21" s="44" t="s">
        <v>3</v>
      </c>
      <c r="P21" s="44" t="s">
        <v>17</v>
      </c>
      <c r="Q21" s="44" t="s">
        <v>6</v>
      </c>
      <c r="R21" s="44" t="s">
        <v>3</v>
      </c>
      <c r="S21" s="1" t="s">
        <v>2</v>
      </c>
    </row>
    <row r="22" spans="1:19" x14ac:dyDescent="0.35">
      <c r="A22" s="204"/>
      <c r="B22" s="204"/>
      <c r="C22" s="204"/>
      <c r="D22" s="14">
        <v>50</v>
      </c>
      <c r="E22" s="14">
        <v>5</v>
      </c>
      <c r="F22" s="34">
        <f>$E$22/10</f>
        <v>0.5</v>
      </c>
      <c r="G22" s="14">
        <v>40</v>
      </c>
      <c r="H22" s="14">
        <v>5</v>
      </c>
      <c r="I22" s="34">
        <f>$H$22/10</f>
        <v>0.5</v>
      </c>
      <c r="J22" s="14">
        <v>50</v>
      </c>
      <c r="K22" s="14">
        <v>5</v>
      </c>
      <c r="L22" s="34">
        <f>$K$22/10</f>
        <v>0.5</v>
      </c>
      <c r="M22" s="14">
        <v>40</v>
      </c>
      <c r="N22" s="14">
        <v>5</v>
      </c>
      <c r="O22" s="35">
        <f>$N$22/10</f>
        <v>0.5</v>
      </c>
      <c r="P22" s="14">
        <v>70</v>
      </c>
      <c r="Q22" s="14">
        <v>10</v>
      </c>
      <c r="R22" s="35">
        <f>$Q$22/10</f>
        <v>1</v>
      </c>
    </row>
    <row r="23" spans="1:19" ht="22" x14ac:dyDescent="0.35">
      <c r="A23" s="6">
        <v>1</v>
      </c>
      <c r="B23" s="38">
        <v>5346000035</v>
      </c>
      <c r="C23" s="39" t="s">
        <v>90</v>
      </c>
      <c r="D23" s="12">
        <v>45</v>
      </c>
      <c r="E23" s="8">
        <f>(D23*$E$22)/$D$22</f>
        <v>4.5</v>
      </c>
      <c r="F23" s="3">
        <f t="shared" ref="F23:F31" si="10">IF($D$33=0,50,(50+(10*(STANDARDIZE(D23,$D$32,$D$33)))))*$F$22</f>
        <v>25</v>
      </c>
      <c r="G23" s="12">
        <v>30</v>
      </c>
      <c r="H23" s="8">
        <f>(G23*$H$22)/$G$22</f>
        <v>3.75</v>
      </c>
      <c r="I23" s="3">
        <f t="shared" ref="I23:I31" si="11">IF($G$33=0,50,(50+(10*(STANDARDIZE(G23,$G$32,$G$33)))))*$I$22</f>
        <v>25</v>
      </c>
      <c r="J23" s="12">
        <v>45</v>
      </c>
      <c r="K23" s="8">
        <f>(J23*$K$22)/$J$22</f>
        <v>4.5</v>
      </c>
      <c r="L23" s="3">
        <f t="shared" ref="L23:L31" si="12">IF($J$33=0,50,(50+(10*(STANDARDIZE(J23,$J$32,$J$33)))))*$L$22</f>
        <v>25</v>
      </c>
      <c r="M23" s="12">
        <v>30</v>
      </c>
      <c r="N23" s="8">
        <f>(M23*$N$22)/$M$22</f>
        <v>3.75</v>
      </c>
      <c r="O23" s="3">
        <f t="shared" ref="O23:O31" si="13">IF($M$33=0,50,(50+(10*(STANDARDIZE(M23,$M$32,$M$33)))))*$O$22</f>
        <v>25</v>
      </c>
      <c r="P23" s="12">
        <v>62</v>
      </c>
      <c r="Q23" s="8">
        <f>(P23*$Q$22)/$P$22</f>
        <v>8.8571428571428577</v>
      </c>
      <c r="R23" s="3">
        <f t="shared" ref="R23:R31" si="14">IF($P$33=0,50,(50+(10*(STANDARDIZE(P23,$P$32,$P$33)))))*$R$22</f>
        <v>37.999062390122404</v>
      </c>
    </row>
    <row r="24" spans="1:19" ht="22" x14ac:dyDescent="0.35">
      <c r="A24" s="6">
        <v>11</v>
      </c>
      <c r="B24" s="38">
        <v>5546000010</v>
      </c>
      <c r="C24" s="39" t="s">
        <v>91</v>
      </c>
      <c r="D24" s="12">
        <v>45</v>
      </c>
      <c r="E24" s="8">
        <f t="shared" ref="E24:E31" si="15">(D24*$E$22)/$D$22</f>
        <v>4.5</v>
      </c>
      <c r="F24" s="3">
        <f t="shared" si="10"/>
        <v>25</v>
      </c>
      <c r="G24" s="12">
        <v>30</v>
      </c>
      <c r="H24" s="8">
        <f t="shared" ref="H24:H31" si="16">(G24*$H$22)/$G$22</f>
        <v>3.75</v>
      </c>
      <c r="I24" s="3">
        <f t="shared" si="11"/>
        <v>25</v>
      </c>
      <c r="J24" s="12">
        <v>45</v>
      </c>
      <c r="K24" s="8">
        <f t="shared" ref="K24:K31" si="17">(J24*$K$22)/$J$22</f>
        <v>4.5</v>
      </c>
      <c r="L24" s="3">
        <f t="shared" si="12"/>
        <v>25</v>
      </c>
      <c r="M24" s="12">
        <v>30</v>
      </c>
      <c r="N24" s="8">
        <f t="shared" ref="N24:N31" si="18">(M24*$N$22)/$M$22</f>
        <v>3.75</v>
      </c>
      <c r="O24" s="3">
        <f t="shared" si="13"/>
        <v>25</v>
      </c>
      <c r="P24" s="12">
        <v>62</v>
      </c>
      <c r="Q24" s="8">
        <f t="shared" ref="Q24:Q31" si="19">(P24*$Q$22)/$P$22</f>
        <v>8.8571428571428577</v>
      </c>
      <c r="R24" s="3">
        <f t="shared" si="14"/>
        <v>37.999062390122404</v>
      </c>
    </row>
    <row r="25" spans="1:19" ht="22" x14ac:dyDescent="0.35">
      <c r="A25" s="6">
        <v>21</v>
      </c>
      <c r="B25" s="38">
        <v>5546000020</v>
      </c>
      <c r="C25" s="39" t="s">
        <v>92</v>
      </c>
      <c r="D25" s="12">
        <v>45</v>
      </c>
      <c r="E25" s="8">
        <f t="shared" si="15"/>
        <v>4.5</v>
      </c>
      <c r="F25" s="3">
        <f t="shared" si="10"/>
        <v>25</v>
      </c>
      <c r="G25" s="12">
        <v>30</v>
      </c>
      <c r="H25" s="8">
        <f t="shared" si="16"/>
        <v>3.75</v>
      </c>
      <c r="I25" s="3">
        <f t="shared" si="11"/>
        <v>25</v>
      </c>
      <c r="J25" s="12">
        <v>45</v>
      </c>
      <c r="K25" s="8">
        <f t="shared" si="17"/>
        <v>4.5</v>
      </c>
      <c r="L25" s="3">
        <f t="shared" si="12"/>
        <v>25</v>
      </c>
      <c r="M25" s="12">
        <v>30</v>
      </c>
      <c r="N25" s="8">
        <f t="shared" si="18"/>
        <v>3.75</v>
      </c>
      <c r="O25" s="3">
        <f t="shared" si="13"/>
        <v>25</v>
      </c>
      <c r="P25" s="12">
        <v>62</v>
      </c>
      <c r="Q25" s="8">
        <f t="shared" si="19"/>
        <v>8.8571428571428577</v>
      </c>
      <c r="R25" s="3">
        <f t="shared" si="14"/>
        <v>37.999062390122404</v>
      </c>
    </row>
    <row r="26" spans="1:19" ht="22" x14ac:dyDescent="0.35">
      <c r="A26" s="6">
        <v>31</v>
      </c>
      <c r="B26" s="38">
        <v>5546000030</v>
      </c>
      <c r="C26" s="39" t="s">
        <v>93</v>
      </c>
      <c r="D26" s="12">
        <v>45</v>
      </c>
      <c r="E26" s="8">
        <f t="shared" si="15"/>
        <v>4.5</v>
      </c>
      <c r="F26" s="3">
        <f t="shared" si="10"/>
        <v>25</v>
      </c>
      <c r="G26" s="12">
        <v>30</v>
      </c>
      <c r="H26" s="8">
        <f t="shared" si="16"/>
        <v>3.75</v>
      </c>
      <c r="I26" s="3">
        <f t="shared" si="11"/>
        <v>25</v>
      </c>
      <c r="J26" s="12">
        <v>45</v>
      </c>
      <c r="K26" s="8">
        <f t="shared" si="17"/>
        <v>4.5</v>
      </c>
      <c r="L26" s="3">
        <f t="shared" si="12"/>
        <v>25</v>
      </c>
      <c r="M26" s="12">
        <v>30</v>
      </c>
      <c r="N26" s="8">
        <f t="shared" si="18"/>
        <v>3.75</v>
      </c>
      <c r="O26" s="3">
        <f t="shared" si="13"/>
        <v>25</v>
      </c>
      <c r="P26" s="12">
        <v>65</v>
      </c>
      <c r="Q26" s="8">
        <f t="shared" si="19"/>
        <v>9.2857142857142865</v>
      </c>
      <c r="R26" s="3">
        <f t="shared" si="14"/>
        <v>58.250644606790836</v>
      </c>
    </row>
    <row r="27" spans="1:19" ht="22" x14ac:dyDescent="0.35">
      <c r="A27" s="6">
        <v>41</v>
      </c>
      <c r="B27" s="38">
        <v>5546000040</v>
      </c>
      <c r="C27" s="39" t="s">
        <v>94</v>
      </c>
      <c r="D27" s="12">
        <v>45</v>
      </c>
      <c r="E27" s="8">
        <f t="shared" si="15"/>
        <v>4.5</v>
      </c>
      <c r="F27" s="3">
        <f t="shared" si="10"/>
        <v>25</v>
      </c>
      <c r="G27" s="12">
        <v>30</v>
      </c>
      <c r="H27" s="8">
        <f t="shared" si="16"/>
        <v>3.75</v>
      </c>
      <c r="I27" s="3">
        <f t="shared" si="11"/>
        <v>25</v>
      </c>
      <c r="J27" s="12">
        <v>45</v>
      </c>
      <c r="K27" s="8">
        <f t="shared" si="17"/>
        <v>4.5</v>
      </c>
      <c r="L27" s="3">
        <f t="shared" si="12"/>
        <v>25</v>
      </c>
      <c r="M27" s="12">
        <v>30</v>
      </c>
      <c r="N27" s="8">
        <f t="shared" si="18"/>
        <v>3.75</v>
      </c>
      <c r="O27" s="3">
        <f t="shared" si="13"/>
        <v>25</v>
      </c>
      <c r="P27" s="12">
        <v>63</v>
      </c>
      <c r="Q27" s="8">
        <f t="shared" si="19"/>
        <v>9</v>
      </c>
      <c r="R27" s="3">
        <f t="shared" si="14"/>
        <v>44.749589795678553</v>
      </c>
    </row>
    <row r="28" spans="1:19" ht="22" x14ac:dyDescent="0.35">
      <c r="A28" s="6">
        <v>51</v>
      </c>
      <c r="B28" s="38">
        <v>5546000050</v>
      </c>
      <c r="C28" s="39" t="s">
        <v>95</v>
      </c>
      <c r="D28" s="12">
        <v>45</v>
      </c>
      <c r="E28" s="8">
        <f t="shared" si="15"/>
        <v>4.5</v>
      </c>
      <c r="F28" s="3">
        <f t="shared" si="10"/>
        <v>25</v>
      </c>
      <c r="G28" s="12">
        <v>30</v>
      </c>
      <c r="H28" s="8">
        <f t="shared" si="16"/>
        <v>3.75</v>
      </c>
      <c r="I28" s="3">
        <f t="shared" si="11"/>
        <v>25</v>
      </c>
      <c r="J28" s="12">
        <v>45</v>
      </c>
      <c r="K28" s="8">
        <f t="shared" si="17"/>
        <v>4.5</v>
      </c>
      <c r="L28" s="3">
        <f t="shared" si="12"/>
        <v>25</v>
      </c>
      <c r="M28" s="12">
        <v>30</v>
      </c>
      <c r="N28" s="8">
        <f t="shared" si="18"/>
        <v>3.75</v>
      </c>
      <c r="O28" s="3">
        <f t="shared" si="13"/>
        <v>25</v>
      </c>
      <c r="P28" s="12">
        <v>65</v>
      </c>
      <c r="Q28" s="8">
        <f t="shared" si="19"/>
        <v>9.2857142857142865</v>
      </c>
      <c r="R28" s="3">
        <f t="shared" si="14"/>
        <v>58.250644606790836</v>
      </c>
    </row>
    <row r="29" spans="1:19" ht="22" x14ac:dyDescent="0.35">
      <c r="A29" s="6">
        <v>61</v>
      </c>
      <c r="B29" s="38">
        <v>5546000060</v>
      </c>
      <c r="C29" s="39" t="s">
        <v>96</v>
      </c>
      <c r="D29" s="12">
        <v>45</v>
      </c>
      <c r="E29" s="8">
        <f t="shared" si="15"/>
        <v>4.5</v>
      </c>
      <c r="F29" s="3">
        <f t="shared" si="10"/>
        <v>25</v>
      </c>
      <c r="G29" s="12">
        <v>30</v>
      </c>
      <c r="H29" s="8">
        <f t="shared" si="16"/>
        <v>3.75</v>
      </c>
      <c r="I29" s="3">
        <f t="shared" si="11"/>
        <v>25</v>
      </c>
      <c r="J29" s="12">
        <v>45</v>
      </c>
      <c r="K29" s="8">
        <f t="shared" si="17"/>
        <v>4.5</v>
      </c>
      <c r="L29" s="3">
        <f t="shared" si="12"/>
        <v>25</v>
      </c>
      <c r="M29" s="12">
        <v>30</v>
      </c>
      <c r="N29" s="8">
        <f t="shared" si="18"/>
        <v>3.75</v>
      </c>
      <c r="O29" s="3">
        <f t="shared" si="13"/>
        <v>25</v>
      </c>
      <c r="P29" s="12">
        <v>65</v>
      </c>
      <c r="Q29" s="8">
        <f t="shared" si="19"/>
        <v>9.2857142857142865</v>
      </c>
      <c r="R29" s="3">
        <f t="shared" si="14"/>
        <v>58.250644606790836</v>
      </c>
    </row>
    <row r="30" spans="1:19" ht="22" x14ac:dyDescent="0.35">
      <c r="A30" s="6">
        <v>71</v>
      </c>
      <c r="B30" s="38">
        <v>5546000070</v>
      </c>
      <c r="C30" s="39" t="s">
        <v>97</v>
      </c>
      <c r="D30" s="12">
        <v>45</v>
      </c>
      <c r="E30" s="8">
        <f t="shared" si="15"/>
        <v>4.5</v>
      </c>
      <c r="F30" s="3">
        <f t="shared" si="10"/>
        <v>25</v>
      </c>
      <c r="G30" s="12">
        <v>30</v>
      </c>
      <c r="H30" s="8">
        <f t="shared" si="16"/>
        <v>3.75</v>
      </c>
      <c r="I30" s="3">
        <f t="shared" si="11"/>
        <v>25</v>
      </c>
      <c r="J30" s="12">
        <v>45</v>
      </c>
      <c r="K30" s="8">
        <f t="shared" si="17"/>
        <v>4.5</v>
      </c>
      <c r="L30" s="3">
        <f t="shared" si="12"/>
        <v>25</v>
      </c>
      <c r="M30" s="12">
        <v>30</v>
      </c>
      <c r="N30" s="8">
        <f t="shared" si="18"/>
        <v>3.75</v>
      </c>
      <c r="O30" s="3">
        <f t="shared" si="13"/>
        <v>25</v>
      </c>
      <c r="P30" s="12">
        <v>65</v>
      </c>
      <c r="Q30" s="8">
        <f t="shared" si="19"/>
        <v>9.2857142857142865</v>
      </c>
      <c r="R30" s="3">
        <f t="shared" si="14"/>
        <v>58.250644606790836</v>
      </c>
    </row>
    <row r="31" spans="1:19" ht="22" x14ac:dyDescent="0.35">
      <c r="A31" s="6">
        <v>81</v>
      </c>
      <c r="B31" s="38">
        <v>5546000080</v>
      </c>
      <c r="C31" s="39" t="s">
        <v>98</v>
      </c>
      <c r="D31" s="12">
        <v>45</v>
      </c>
      <c r="E31" s="8">
        <f t="shared" si="15"/>
        <v>4.5</v>
      </c>
      <c r="F31" s="3">
        <f t="shared" si="10"/>
        <v>25</v>
      </c>
      <c r="G31" s="12">
        <v>30</v>
      </c>
      <c r="H31" s="8">
        <f t="shared" si="16"/>
        <v>3.75</v>
      </c>
      <c r="I31" s="3">
        <f t="shared" si="11"/>
        <v>25</v>
      </c>
      <c r="J31" s="12">
        <v>45</v>
      </c>
      <c r="K31" s="8">
        <f t="shared" si="17"/>
        <v>4.5</v>
      </c>
      <c r="L31" s="3">
        <f t="shared" si="12"/>
        <v>25</v>
      </c>
      <c r="M31" s="12">
        <v>30</v>
      </c>
      <c r="N31" s="8">
        <f t="shared" si="18"/>
        <v>3.75</v>
      </c>
      <c r="O31" s="3">
        <f t="shared" si="13"/>
        <v>25</v>
      </c>
      <c r="P31" s="12">
        <v>65</v>
      </c>
      <c r="Q31" s="8">
        <f t="shared" si="19"/>
        <v>9.2857142857142865</v>
      </c>
      <c r="R31" s="3">
        <f t="shared" si="14"/>
        <v>58.250644606790836</v>
      </c>
    </row>
    <row r="32" spans="1:19" x14ac:dyDescent="0.35">
      <c r="C32" s="42" t="s">
        <v>13</v>
      </c>
      <c r="D32" s="9">
        <f>AVERAGE($D$23:$D$31)</f>
        <v>45</v>
      </c>
      <c r="G32" s="9">
        <f>AVERAGE($G$23:$G$31)</f>
        <v>30</v>
      </c>
      <c r="J32" s="9">
        <f>AVERAGE($J$23:$J$31)</f>
        <v>45</v>
      </c>
      <c r="M32" s="9">
        <f>AVERAGE($M$23:$M$31)</f>
        <v>30</v>
      </c>
      <c r="P32" s="9">
        <f>AVERAGE($P$23:$P$31)</f>
        <v>63.777777777777779</v>
      </c>
    </row>
    <row r="33" spans="1:20" x14ac:dyDescent="0.35">
      <c r="C33" s="42" t="s">
        <v>14</v>
      </c>
      <c r="D33" s="9">
        <f>STDEV($D$23:$D$31)</f>
        <v>0</v>
      </c>
      <c r="F33" s="5"/>
      <c r="G33" s="9">
        <f>STDEV($G$23:$G$31)</f>
        <v>0</v>
      </c>
      <c r="J33" s="9">
        <f>STDEV($J$23:$J$31)</f>
        <v>0</v>
      </c>
      <c r="L33" s="5"/>
      <c r="M33" s="9">
        <f>STDEV($M$23:$M$31)</f>
        <v>0</v>
      </c>
      <c r="P33" s="9">
        <f>STDEV($P$23:$P$31)</f>
        <v>1.4813657362192649</v>
      </c>
    </row>
    <row r="34" spans="1:20" x14ac:dyDescent="0.35">
      <c r="C34" s="42"/>
      <c r="D34" s="9"/>
      <c r="F34" s="5"/>
      <c r="G34" s="9" t="s">
        <v>2</v>
      </c>
      <c r="J34" s="9"/>
      <c r="L34" s="5"/>
      <c r="M34" s="9"/>
      <c r="P34" s="1" t="s">
        <v>2</v>
      </c>
    </row>
    <row r="35" spans="1:20" x14ac:dyDescent="0.35">
      <c r="D35" s="208" t="s">
        <v>99</v>
      </c>
      <c r="E35" s="208"/>
      <c r="F35" s="208"/>
      <c r="P35" s="1" t="s">
        <v>2</v>
      </c>
    </row>
    <row r="36" spans="1:20" x14ac:dyDescent="0.35">
      <c r="A36" s="204" t="s">
        <v>76</v>
      </c>
      <c r="B36" s="204" t="s">
        <v>12</v>
      </c>
      <c r="C36" s="204" t="s">
        <v>0</v>
      </c>
      <c r="D36" s="207" t="s">
        <v>65</v>
      </c>
      <c r="E36" s="207"/>
      <c r="F36" s="207"/>
      <c r="G36" s="209" t="s">
        <v>53</v>
      </c>
      <c r="H36" s="209"/>
      <c r="I36" s="209"/>
      <c r="J36" s="209" t="s">
        <v>66</v>
      </c>
      <c r="K36" s="209"/>
      <c r="L36" s="209"/>
      <c r="M36" s="202"/>
      <c r="N36" s="202"/>
      <c r="O36" s="202"/>
      <c r="P36" s="210"/>
      <c r="Q36" s="210"/>
      <c r="R36" s="210"/>
    </row>
    <row r="37" spans="1:20" x14ac:dyDescent="0.35">
      <c r="A37" s="204"/>
      <c r="B37" s="204"/>
      <c r="C37" s="204"/>
      <c r="D37" s="44" t="s">
        <v>17</v>
      </c>
      <c r="E37" s="44" t="s">
        <v>6</v>
      </c>
      <c r="F37" s="44" t="s">
        <v>3</v>
      </c>
      <c r="G37" s="44" t="s">
        <v>17</v>
      </c>
      <c r="H37" s="44" t="s">
        <v>6</v>
      </c>
      <c r="I37" s="44" t="s">
        <v>3</v>
      </c>
      <c r="J37" s="44" t="s">
        <v>17</v>
      </c>
      <c r="K37" s="44" t="s">
        <v>6</v>
      </c>
      <c r="L37" s="44" t="s">
        <v>3</v>
      </c>
      <c r="M37" s="42"/>
      <c r="N37" s="42"/>
      <c r="O37" s="42"/>
      <c r="P37" s="42"/>
      <c r="Q37" s="42"/>
      <c r="R37" s="42"/>
    </row>
    <row r="38" spans="1:20" x14ac:dyDescent="0.35">
      <c r="A38" s="204"/>
      <c r="B38" s="204"/>
      <c r="C38" s="204"/>
      <c r="D38" s="14">
        <v>30</v>
      </c>
      <c r="E38" s="14">
        <v>5</v>
      </c>
      <c r="F38" s="34">
        <f>$E$38/10</f>
        <v>0.5</v>
      </c>
      <c r="G38" s="14">
        <v>50</v>
      </c>
      <c r="H38" s="14">
        <v>5</v>
      </c>
      <c r="I38" s="34">
        <f>$H$38/10</f>
        <v>0.5</v>
      </c>
      <c r="J38" s="14">
        <v>60</v>
      </c>
      <c r="K38" s="14">
        <v>5</v>
      </c>
      <c r="L38" s="34">
        <f>$K$38/10</f>
        <v>0.5</v>
      </c>
      <c r="M38" s="40"/>
      <c r="N38" s="40"/>
      <c r="O38" s="41"/>
      <c r="P38" s="2"/>
      <c r="Q38" s="2"/>
      <c r="R38" s="41"/>
    </row>
    <row r="39" spans="1:20" ht="22" x14ac:dyDescent="0.35">
      <c r="A39" s="6">
        <v>1</v>
      </c>
      <c r="B39" s="38">
        <v>5346000035</v>
      </c>
      <c r="C39" s="39" t="s">
        <v>90</v>
      </c>
      <c r="D39" s="12">
        <v>25</v>
      </c>
      <c r="E39" s="8">
        <f>(D39*$E$38)/$D$38</f>
        <v>4.166666666666667</v>
      </c>
      <c r="F39" s="3">
        <f t="shared" ref="F39:F47" si="20">IF($D$49=0,50,(50+(10*(STANDARDIZE(D39,$D$48,$D$49)))))*$F$38</f>
        <v>25</v>
      </c>
      <c r="G39" s="12">
        <v>45</v>
      </c>
      <c r="H39" s="8">
        <f>(G39*$H$38)/$G$38</f>
        <v>4.5</v>
      </c>
      <c r="I39" s="3">
        <f t="shared" ref="I39:I47" si="21">IF($G$49=0,50,(50+(10*(STANDARDIZE(G39,$G$48,$G$49)))))*$I$38</f>
        <v>18.333333333333321</v>
      </c>
      <c r="J39" s="12">
        <v>34</v>
      </c>
      <c r="K39" s="8">
        <f>(J39*$K$38)/$J$38</f>
        <v>2.8333333333333335</v>
      </c>
      <c r="L39" s="3">
        <f t="shared" ref="L39:L47" si="22">IF($J$49=0,50,(50+(10*(STANDARDIZE(J39,$J$48,$J$49)))))*$L$38</f>
        <v>14.816816933911937</v>
      </c>
      <c r="M39" s="9"/>
      <c r="N39" s="19"/>
      <c r="O39" s="9"/>
      <c r="P39" s="2"/>
      <c r="Q39" s="19"/>
      <c r="R39" s="9"/>
    </row>
    <row r="40" spans="1:20" ht="22" x14ac:dyDescent="0.35">
      <c r="A40" s="6">
        <v>11</v>
      </c>
      <c r="B40" s="38">
        <v>5546000010</v>
      </c>
      <c r="C40" s="39" t="s">
        <v>91</v>
      </c>
      <c r="D40" s="12">
        <v>25</v>
      </c>
      <c r="E40" s="8">
        <f t="shared" ref="E40:E47" si="23">(D40*$E$38)/$D$38</f>
        <v>4.166666666666667</v>
      </c>
      <c r="F40" s="3">
        <f t="shared" si="20"/>
        <v>25</v>
      </c>
      <c r="G40" s="12">
        <v>46</v>
      </c>
      <c r="H40" s="8">
        <f t="shared" ref="H40:H47" si="24">(G40*$H$38)/$G$38</f>
        <v>4.5999999999999996</v>
      </c>
      <c r="I40" s="3">
        <f t="shared" si="21"/>
        <v>23.333333333333321</v>
      </c>
      <c r="J40" s="12">
        <v>37</v>
      </c>
      <c r="K40" s="8">
        <f t="shared" ref="K40:K47" si="25">(J40*$K$38)/$J$38</f>
        <v>3.0833333333333335</v>
      </c>
      <c r="L40" s="3">
        <f t="shared" si="22"/>
        <v>18.583199711780125</v>
      </c>
      <c r="M40" s="9"/>
      <c r="N40" s="19"/>
      <c r="O40" s="9"/>
      <c r="P40" s="2"/>
      <c r="Q40" s="19"/>
      <c r="R40" s="9"/>
    </row>
    <row r="41" spans="1:20" ht="22" x14ac:dyDescent="0.35">
      <c r="A41" s="6">
        <v>21</v>
      </c>
      <c r="B41" s="38">
        <v>5546000020</v>
      </c>
      <c r="C41" s="39" t="s">
        <v>92</v>
      </c>
      <c r="D41" s="12">
        <v>25</v>
      </c>
      <c r="E41" s="8">
        <f t="shared" si="23"/>
        <v>4.166666666666667</v>
      </c>
      <c r="F41" s="3">
        <f t="shared" si="20"/>
        <v>25</v>
      </c>
      <c r="G41" s="12">
        <v>46</v>
      </c>
      <c r="H41" s="8">
        <f t="shared" si="24"/>
        <v>4.5999999999999996</v>
      </c>
      <c r="I41" s="3">
        <f t="shared" si="21"/>
        <v>23.333333333333321</v>
      </c>
      <c r="J41" s="12">
        <v>45</v>
      </c>
      <c r="K41" s="8">
        <f t="shared" si="25"/>
        <v>3.75</v>
      </c>
      <c r="L41" s="3">
        <f t="shared" si="22"/>
        <v>28.62688711942862</v>
      </c>
      <c r="M41" s="9"/>
      <c r="N41" s="19"/>
      <c r="O41" s="9"/>
      <c r="P41" s="2"/>
      <c r="Q41" s="19"/>
      <c r="R41" s="9"/>
    </row>
    <row r="42" spans="1:20" ht="22" x14ac:dyDescent="0.35">
      <c r="A42" s="6">
        <v>31</v>
      </c>
      <c r="B42" s="38">
        <v>5546000030</v>
      </c>
      <c r="C42" s="39" t="s">
        <v>93</v>
      </c>
      <c r="D42" s="12">
        <v>25</v>
      </c>
      <c r="E42" s="8">
        <f t="shared" si="23"/>
        <v>4.166666666666667</v>
      </c>
      <c r="F42" s="3">
        <f t="shared" si="20"/>
        <v>25</v>
      </c>
      <c r="G42" s="12">
        <v>46</v>
      </c>
      <c r="H42" s="8">
        <f t="shared" si="24"/>
        <v>4.5999999999999996</v>
      </c>
      <c r="I42" s="3">
        <f t="shared" si="21"/>
        <v>23.333333333333321</v>
      </c>
      <c r="J42" s="12">
        <v>46</v>
      </c>
      <c r="K42" s="8">
        <f t="shared" si="25"/>
        <v>3.8333333333333335</v>
      </c>
      <c r="L42" s="3">
        <f t="shared" si="22"/>
        <v>29.882348045384681</v>
      </c>
      <c r="M42" s="9"/>
      <c r="N42" s="19"/>
      <c r="O42" s="9"/>
      <c r="P42" s="2"/>
      <c r="Q42" s="19"/>
      <c r="R42" s="9"/>
    </row>
    <row r="43" spans="1:20" ht="22" x14ac:dyDescent="0.35">
      <c r="A43" s="6">
        <v>41</v>
      </c>
      <c r="B43" s="38">
        <v>5546000040</v>
      </c>
      <c r="C43" s="39" t="s">
        <v>94</v>
      </c>
      <c r="D43" s="12">
        <v>25</v>
      </c>
      <c r="E43" s="8">
        <f t="shared" si="23"/>
        <v>4.166666666666667</v>
      </c>
      <c r="F43" s="3">
        <f t="shared" si="20"/>
        <v>25</v>
      </c>
      <c r="G43" s="12">
        <v>46</v>
      </c>
      <c r="H43" s="8">
        <f t="shared" si="24"/>
        <v>4.5999999999999996</v>
      </c>
      <c r="I43" s="3">
        <f t="shared" si="21"/>
        <v>23.333333333333321</v>
      </c>
      <c r="J43" s="12">
        <v>44</v>
      </c>
      <c r="K43" s="8">
        <f t="shared" si="25"/>
        <v>3.6666666666666665</v>
      </c>
      <c r="L43" s="3">
        <f t="shared" si="22"/>
        <v>27.371426193472558</v>
      </c>
      <c r="M43" s="9"/>
      <c r="N43" s="19"/>
      <c r="O43" s="9"/>
      <c r="P43" s="2"/>
      <c r="Q43" s="19"/>
      <c r="R43" s="9"/>
    </row>
    <row r="44" spans="1:20" ht="22" x14ac:dyDescent="0.35">
      <c r="A44" s="6">
        <v>51</v>
      </c>
      <c r="B44" s="38">
        <v>5546000050</v>
      </c>
      <c r="C44" s="39" t="s">
        <v>95</v>
      </c>
      <c r="D44" s="12">
        <v>25</v>
      </c>
      <c r="E44" s="8">
        <f t="shared" si="23"/>
        <v>4.166666666666667</v>
      </c>
      <c r="F44" s="3">
        <f t="shared" si="20"/>
        <v>25</v>
      </c>
      <c r="G44" s="12">
        <v>48</v>
      </c>
      <c r="H44" s="8">
        <f t="shared" si="24"/>
        <v>4.8</v>
      </c>
      <c r="I44" s="3">
        <f t="shared" si="21"/>
        <v>33.333333333333321</v>
      </c>
      <c r="J44" s="12">
        <v>44</v>
      </c>
      <c r="K44" s="8">
        <f t="shared" si="25"/>
        <v>3.6666666666666665</v>
      </c>
      <c r="L44" s="3">
        <f t="shared" si="22"/>
        <v>27.371426193472558</v>
      </c>
      <c r="M44" s="9"/>
      <c r="N44" s="19"/>
      <c r="O44" s="9"/>
      <c r="P44" s="2"/>
      <c r="Q44" s="19"/>
      <c r="R44" s="9"/>
    </row>
    <row r="45" spans="1:20" ht="22" x14ac:dyDescent="0.35">
      <c r="A45" s="6">
        <v>61</v>
      </c>
      <c r="B45" s="38">
        <v>5546000060</v>
      </c>
      <c r="C45" s="39" t="s">
        <v>96</v>
      </c>
      <c r="D45" s="12">
        <v>25</v>
      </c>
      <c r="E45" s="8">
        <f t="shared" si="23"/>
        <v>4.166666666666667</v>
      </c>
      <c r="F45" s="3">
        <f t="shared" si="20"/>
        <v>25</v>
      </c>
      <c r="G45" s="12">
        <v>48</v>
      </c>
      <c r="H45" s="8">
        <f t="shared" si="24"/>
        <v>4.8</v>
      </c>
      <c r="I45" s="3">
        <f t="shared" si="21"/>
        <v>33.333333333333321</v>
      </c>
      <c r="J45" s="12">
        <v>44</v>
      </c>
      <c r="K45" s="8">
        <f t="shared" si="25"/>
        <v>3.6666666666666665</v>
      </c>
      <c r="L45" s="3">
        <f t="shared" si="22"/>
        <v>27.371426193472558</v>
      </c>
      <c r="M45" s="9"/>
      <c r="N45" s="19"/>
      <c r="O45" s="9"/>
      <c r="P45" s="2"/>
      <c r="Q45" s="19"/>
      <c r="R45" s="9"/>
    </row>
    <row r="46" spans="1:20" ht="22" x14ac:dyDescent="0.35">
      <c r="A46" s="6">
        <v>71</v>
      </c>
      <c r="B46" s="38">
        <v>5546000070</v>
      </c>
      <c r="C46" s="39" t="s">
        <v>97</v>
      </c>
      <c r="D46" s="12">
        <v>25</v>
      </c>
      <c r="E46" s="8">
        <f t="shared" si="23"/>
        <v>4.166666666666667</v>
      </c>
      <c r="F46" s="3">
        <f t="shared" si="20"/>
        <v>25</v>
      </c>
      <c r="G46" s="12">
        <v>46</v>
      </c>
      <c r="H46" s="8">
        <f t="shared" si="24"/>
        <v>4.5999999999999996</v>
      </c>
      <c r="I46" s="3">
        <f t="shared" si="21"/>
        <v>23.333333333333321</v>
      </c>
      <c r="J46" s="12">
        <v>42</v>
      </c>
      <c r="K46" s="8">
        <f t="shared" si="25"/>
        <v>3.5</v>
      </c>
      <c r="L46" s="3">
        <f t="shared" si="22"/>
        <v>24.860504341560432</v>
      </c>
      <c r="M46" s="9"/>
      <c r="N46" s="19"/>
      <c r="O46" s="9"/>
      <c r="P46" s="2"/>
      <c r="Q46" s="19"/>
      <c r="R46" s="9"/>
    </row>
    <row r="47" spans="1:20" ht="22" x14ac:dyDescent="0.35">
      <c r="A47" s="6">
        <v>81</v>
      </c>
      <c r="B47" s="38">
        <v>5546000080</v>
      </c>
      <c r="C47" s="39" t="s">
        <v>98</v>
      </c>
      <c r="D47" s="12">
        <v>25</v>
      </c>
      <c r="E47" s="8">
        <f t="shared" si="23"/>
        <v>4.166666666666667</v>
      </c>
      <c r="F47" s="3">
        <f t="shared" si="20"/>
        <v>25</v>
      </c>
      <c r="G47" s="12">
        <v>46</v>
      </c>
      <c r="H47" s="8">
        <f t="shared" si="24"/>
        <v>4.5999999999999996</v>
      </c>
      <c r="I47" s="3">
        <f t="shared" si="21"/>
        <v>23.333333333333321</v>
      </c>
      <c r="J47" s="12">
        <v>43</v>
      </c>
      <c r="K47" s="8">
        <f t="shared" si="25"/>
        <v>3.5833333333333335</v>
      </c>
      <c r="L47" s="3">
        <f t="shared" si="22"/>
        <v>26.115965267516497</v>
      </c>
      <c r="M47" s="9"/>
      <c r="N47" s="19"/>
      <c r="O47" s="9"/>
      <c r="P47" s="2"/>
      <c r="Q47" s="19"/>
      <c r="R47" s="9"/>
    </row>
    <row r="48" spans="1:20" x14ac:dyDescent="0.35">
      <c r="C48" s="42" t="s">
        <v>13</v>
      </c>
      <c r="D48" s="9">
        <f>AVERAGE($D$39:$D$47)</f>
        <v>25</v>
      </c>
      <c r="G48" s="9">
        <f>AVERAGE($G$39:$G$47)</f>
        <v>46.333333333333336</v>
      </c>
      <c r="J48" s="9">
        <f>AVERAGE($J$39:$J$47)</f>
        <v>42.111111111111114</v>
      </c>
      <c r="M48" s="9"/>
      <c r="P48" s="9"/>
      <c r="T48" s="1" t="s">
        <v>2</v>
      </c>
    </row>
    <row r="49" spans="1:22" x14ac:dyDescent="0.35">
      <c r="C49" s="42" t="s">
        <v>14</v>
      </c>
      <c r="D49" s="9">
        <f>STDEV($D$39:$D$47)</f>
        <v>0</v>
      </c>
      <c r="F49" s="5"/>
      <c r="G49" s="9">
        <f>STDEV($G$39:$G$47)</f>
        <v>0.99999999999999989</v>
      </c>
      <c r="J49" s="9">
        <f>STDEV($J$39:$J$47)</f>
        <v>3.982601048449506</v>
      </c>
      <c r="L49" s="5"/>
      <c r="M49" s="9"/>
      <c r="P49" s="9"/>
      <c r="V49" s="1" t="s">
        <v>2</v>
      </c>
    </row>
    <row r="50" spans="1:22" x14ac:dyDescent="0.35">
      <c r="C50" s="42"/>
      <c r="D50" s="9"/>
      <c r="F50" s="5"/>
      <c r="G50" s="9"/>
      <c r="J50" s="9"/>
      <c r="L50" s="5"/>
      <c r="M50" s="9"/>
      <c r="P50" s="1" t="s">
        <v>2</v>
      </c>
    </row>
    <row r="51" spans="1:22" x14ac:dyDescent="0.35">
      <c r="C51" s="42"/>
      <c r="D51" s="9"/>
      <c r="F51" s="5"/>
      <c r="G51" s="9"/>
      <c r="J51" s="9"/>
      <c r="L51" s="5"/>
      <c r="M51" s="9"/>
    </row>
    <row r="52" spans="1:22" ht="18.75" hidden="1" customHeight="1" x14ac:dyDescent="0.35">
      <c r="A52" s="204" t="s">
        <v>5</v>
      </c>
      <c r="B52" s="204" t="s">
        <v>12</v>
      </c>
      <c r="C52" s="204" t="s">
        <v>0</v>
      </c>
      <c r="D52" s="207" t="s">
        <v>21</v>
      </c>
      <c r="E52" s="207"/>
      <c r="F52" s="207"/>
      <c r="G52" s="207" t="s">
        <v>22</v>
      </c>
      <c r="H52" s="207"/>
      <c r="I52" s="207"/>
      <c r="J52" s="207" t="s">
        <v>23</v>
      </c>
      <c r="K52" s="207"/>
      <c r="L52" s="207"/>
      <c r="M52" s="207" t="s">
        <v>24</v>
      </c>
      <c r="N52" s="207"/>
      <c r="O52" s="207"/>
      <c r="P52" s="211" t="s">
        <v>25</v>
      </c>
      <c r="Q52" s="212"/>
      <c r="R52" s="213"/>
    </row>
    <row r="53" spans="1:22" ht="18.75" hidden="1" customHeight="1" x14ac:dyDescent="0.35">
      <c r="A53" s="204"/>
      <c r="B53" s="204"/>
      <c r="C53" s="204"/>
      <c r="D53" s="44" t="s">
        <v>17</v>
      </c>
      <c r="E53" s="44" t="s">
        <v>6</v>
      </c>
      <c r="F53" s="44" t="s">
        <v>3</v>
      </c>
      <c r="G53" s="44" t="s">
        <v>17</v>
      </c>
      <c r="H53" s="44" t="s">
        <v>6</v>
      </c>
      <c r="I53" s="44" t="s">
        <v>3</v>
      </c>
      <c r="J53" s="44" t="s">
        <v>17</v>
      </c>
      <c r="K53" s="44" t="s">
        <v>6</v>
      </c>
      <c r="L53" s="44" t="s">
        <v>3</v>
      </c>
      <c r="M53" s="44" t="s">
        <v>17</v>
      </c>
      <c r="N53" s="44" t="s">
        <v>6</v>
      </c>
      <c r="O53" s="44" t="s">
        <v>3</v>
      </c>
      <c r="P53" s="44" t="s">
        <v>17</v>
      </c>
      <c r="Q53" s="44" t="s">
        <v>6</v>
      </c>
      <c r="R53" s="44" t="s">
        <v>3</v>
      </c>
    </row>
    <row r="54" spans="1:22" hidden="1" x14ac:dyDescent="0.35">
      <c r="A54" s="204"/>
      <c r="B54" s="204"/>
      <c r="C54" s="204"/>
      <c r="D54" s="14"/>
      <c r="E54" s="14"/>
      <c r="F54" s="34"/>
      <c r="G54" s="14"/>
      <c r="H54" s="14"/>
      <c r="I54" s="36"/>
      <c r="J54" s="14"/>
      <c r="K54" s="14"/>
      <c r="L54" s="34"/>
      <c r="M54" s="14"/>
      <c r="N54" s="14"/>
      <c r="O54" s="34"/>
      <c r="P54" s="43"/>
      <c r="Q54" s="43"/>
      <c r="R54" s="35"/>
    </row>
    <row r="55" spans="1:22" ht="22" hidden="1" x14ac:dyDescent="0.35">
      <c r="A55" s="6">
        <v>1</v>
      </c>
      <c r="B55" s="38">
        <v>534600011</v>
      </c>
      <c r="C55" s="39" t="s">
        <v>44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22" ht="22" hidden="1" x14ac:dyDescent="0.35">
      <c r="A56" s="6">
        <v>2</v>
      </c>
      <c r="B56" s="38">
        <v>534600012</v>
      </c>
      <c r="C56" s="39" t="s">
        <v>45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22" ht="22" hidden="1" x14ac:dyDescent="0.35">
      <c r="A57" s="6">
        <v>3</v>
      </c>
      <c r="B57" s="38">
        <v>534600013</v>
      </c>
      <c r="C57" s="39" t="s">
        <v>46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22" ht="22" hidden="1" x14ac:dyDescent="0.35">
      <c r="A58" s="6">
        <v>4</v>
      </c>
      <c r="B58" s="38">
        <v>534600014</v>
      </c>
      <c r="C58" s="39" t="s">
        <v>47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22" ht="22" hidden="1" x14ac:dyDescent="0.35">
      <c r="A59" s="6">
        <v>5</v>
      </c>
      <c r="B59" s="38">
        <v>534600017</v>
      </c>
      <c r="C59" s="39" t="s">
        <v>48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22" ht="22" hidden="1" x14ac:dyDescent="0.35">
      <c r="A60" s="6">
        <v>6</v>
      </c>
      <c r="B60" s="38">
        <v>534600018</v>
      </c>
      <c r="C60" s="39" t="s">
        <v>49</v>
      </c>
      <c r="D60" s="12"/>
      <c r="E60" s="8"/>
      <c r="F60" s="3"/>
      <c r="G60" s="12"/>
      <c r="H60" s="8"/>
      <c r="I60" s="3"/>
      <c r="J60" s="12"/>
      <c r="K60" s="8"/>
      <c r="L60" s="3"/>
      <c r="M60" s="11"/>
      <c r="N60" s="8"/>
      <c r="O60" s="3"/>
      <c r="P60" s="12"/>
      <c r="Q60" s="8"/>
      <c r="R60" s="3"/>
    </row>
    <row r="61" spans="1:22" ht="22" hidden="1" x14ac:dyDescent="0.35">
      <c r="A61" s="6">
        <v>7</v>
      </c>
      <c r="B61" s="38">
        <v>534600019</v>
      </c>
      <c r="C61" s="39" t="s">
        <v>50</v>
      </c>
      <c r="D61" s="12"/>
      <c r="E61" s="8"/>
      <c r="F61" s="3"/>
      <c r="G61" s="12"/>
      <c r="H61" s="8"/>
      <c r="I61" s="3"/>
      <c r="J61" s="12"/>
      <c r="K61" s="8"/>
      <c r="L61" s="3"/>
      <c r="M61" s="11"/>
      <c r="N61" s="8"/>
      <c r="O61" s="3"/>
      <c r="P61" s="12"/>
      <c r="Q61" s="8"/>
      <c r="R61" s="3"/>
    </row>
    <row r="62" spans="1:22" ht="22" hidden="1" x14ac:dyDescent="0.35">
      <c r="A62" s="6">
        <v>8</v>
      </c>
      <c r="B62" s="38">
        <v>534600020</v>
      </c>
      <c r="C62" s="39" t="s">
        <v>51</v>
      </c>
      <c r="D62" s="12"/>
      <c r="E62" s="8"/>
      <c r="F62" s="3"/>
      <c r="G62" s="12"/>
      <c r="H62" s="8"/>
      <c r="I62" s="3"/>
      <c r="J62" s="12"/>
      <c r="K62" s="8"/>
      <c r="L62" s="3"/>
      <c r="M62" s="11"/>
      <c r="N62" s="8"/>
      <c r="O62" s="3"/>
      <c r="P62" s="12"/>
      <c r="Q62" s="8"/>
      <c r="R62" s="3"/>
    </row>
    <row r="63" spans="1:22" hidden="1" x14ac:dyDescent="0.35">
      <c r="C63" s="42" t="s">
        <v>13</v>
      </c>
      <c r="D63" s="9"/>
      <c r="G63" s="9"/>
      <c r="J63" s="9"/>
      <c r="M63" s="9"/>
      <c r="P63" s="9"/>
    </row>
    <row r="64" spans="1:22" hidden="1" x14ac:dyDescent="0.35">
      <c r="C64" s="42" t="s">
        <v>14</v>
      </c>
      <c r="D64" s="9"/>
      <c r="F64" s="5"/>
      <c r="G64" s="9"/>
      <c r="J64" s="9"/>
      <c r="L64" s="5"/>
      <c r="M64" s="9"/>
      <c r="P64" s="9"/>
    </row>
    <row r="65" spans="1:21" hidden="1" x14ac:dyDescent="0.35">
      <c r="C65" s="42"/>
      <c r="D65" s="9"/>
      <c r="F65" s="5"/>
      <c r="G65" s="9"/>
      <c r="J65" s="9"/>
      <c r="L65" s="5"/>
      <c r="M65" s="9"/>
    </row>
    <row r="66" spans="1:21" hidden="1" x14ac:dyDescent="0.35">
      <c r="C66" s="42"/>
      <c r="D66" s="9"/>
      <c r="F66" s="5"/>
      <c r="G66" s="9"/>
      <c r="J66" s="9"/>
      <c r="L66" s="5"/>
      <c r="M66" s="9"/>
    </row>
    <row r="67" spans="1:21" hidden="1" x14ac:dyDescent="0.35">
      <c r="A67" s="204" t="s">
        <v>5</v>
      </c>
      <c r="B67" s="204" t="s">
        <v>12</v>
      </c>
      <c r="C67" s="204" t="s">
        <v>0</v>
      </c>
      <c r="D67" s="207" t="s">
        <v>26</v>
      </c>
      <c r="E67" s="207"/>
      <c r="F67" s="207"/>
      <c r="G67" s="207" t="s">
        <v>27</v>
      </c>
      <c r="H67" s="207"/>
      <c r="I67" s="207"/>
      <c r="J67" s="207" t="s">
        <v>28</v>
      </c>
      <c r="K67" s="207"/>
      <c r="L67" s="207"/>
      <c r="M67" s="207" t="s">
        <v>29</v>
      </c>
      <c r="N67" s="207"/>
      <c r="O67" s="207"/>
      <c r="P67" s="214" t="s">
        <v>30</v>
      </c>
      <c r="Q67" s="215"/>
      <c r="R67" s="216"/>
    </row>
    <row r="68" spans="1:21" hidden="1" x14ac:dyDescent="0.35">
      <c r="A68" s="204"/>
      <c r="B68" s="204"/>
      <c r="C68" s="204"/>
      <c r="D68" s="44" t="s">
        <v>17</v>
      </c>
      <c r="E68" s="44" t="s">
        <v>6</v>
      </c>
      <c r="F68" s="44" t="s">
        <v>3</v>
      </c>
      <c r="G68" s="44" t="s">
        <v>17</v>
      </c>
      <c r="H68" s="44" t="s">
        <v>6</v>
      </c>
      <c r="I68" s="44" t="s">
        <v>3</v>
      </c>
      <c r="J68" s="44" t="s">
        <v>17</v>
      </c>
      <c r="K68" s="44" t="s">
        <v>6</v>
      </c>
      <c r="L68" s="44" t="s">
        <v>3</v>
      </c>
      <c r="M68" s="44" t="s">
        <v>17</v>
      </c>
      <c r="N68" s="44" t="s">
        <v>6</v>
      </c>
      <c r="O68" s="44" t="s">
        <v>3</v>
      </c>
      <c r="P68" s="44" t="s">
        <v>17</v>
      </c>
      <c r="Q68" s="44" t="s">
        <v>6</v>
      </c>
      <c r="R68" s="44" t="s">
        <v>3</v>
      </c>
    </row>
    <row r="69" spans="1:21" hidden="1" x14ac:dyDescent="0.35">
      <c r="A69" s="204"/>
      <c r="B69" s="204"/>
      <c r="C69" s="204"/>
      <c r="D69" s="14"/>
      <c r="E69" s="14"/>
      <c r="F69" s="34"/>
      <c r="G69" s="14"/>
      <c r="H69" s="14"/>
      <c r="I69" s="34"/>
      <c r="J69" s="14"/>
      <c r="K69" s="14"/>
      <c r="L69" s="34"/>
      <c r="M69" s="14"/>
      <c r="N69" s="14"/>
      <c r="O69" s="34"/>
      <c r="P69" s="43"/>
      <c r="Q69" s="43"/>
      <c r="R69" s="34"/>
    </row>
    <row r="70" spans="1:21" ht="22" hidden="1" x14ac:dyDescent="0.35">
      <c r="A70" s="6">
        <v>1</v>
      </c>
      <c r="B70" s="38">
        <v>534600011</v>
      </c>
      <c r="C70" s="39" t="s">
        <v>44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2</v>
      </c>
      <c r="B71" s="38">
        <v>534600012</v>
      </c>
      <c r="C71" s="39" t="s">
        <v>45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3</v>
      </c>
      <c r="B72" s="38">
        <v>534600013</v>
      </c>
      <c r="C72" s="39" t="s">
        <v>46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4</v>
      </c>
      <c r="B73" s="38">
        <v>534600014</v>
      </c>
      <c r="C73" s="39" t="s">
        <v>47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5</v>
      </c>
      <c r="B74" s="38">
        <v>534600017</v>
      </c>
      <c r="C74" s="39" t="s">
        <v>48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</row>
    <row r="75" spans="1:21" ht="22" hidden="1" x14ac:dyDescent="0.35">
      <c r="A75" s="6">
        <v>6</v>
      </c>
      <c r="B75" s="38">
        <v>534600018</v>
      </c>
      <c r="C75" s="39" t="s">
        <v>49</v>
      </c>
      <c r="D75" s="12"/>
      <c r="E75" s="8"/>
      <c r="F75" s="3"/>
      <c r="G75" s="12"/>
      <c r="H75" s="8"/>
      <c r="I75" s="3"/>
      <c r="J75" s="12"/>
      <c r="K75" s="8"/>
      <c r="L75" s="3"/>
      <c r="M75" s="17"/>
      <c r="N75" s="8"/>
      <c r="O75" s="3"/>
      <c r="P75" s="15"/>
      <c r="Q75" s="8"/>
      <c r="R75" s="3"/>
    </row>
    <row r="76" spans="1:21" ht="22" hidden="1" x14ac:dyDescent="0.35">
      <c r="A76" s="6">
        <v>7</v>
      </c>
      <c r="B76" s="38">
        <v>534600019</v>
      </c>
      <c r="C76" s="39" t="s">
        <v>50</v>
      </c>
      <c r="D76" s="12"/>
      <c r="E76" s="8"/>
      <c r="F76" s="3"/>
      <c r="G76" s="12"/>
      <c r="H76" s="8"/>
      <c r="I76" s="3"/>
      <c r="J76" s="12"/>
      <c r="K76" s="8"/>
      <c r="L76" s="3"/>
      <c r="M76" s="17"/>
      <c r="N76" s="8"/>
      <c r="O76" s="3"/>
      <c r="P76" s="15"/>
      <c r="Q76" s="8"/>
      <c r="R76" s="3"/>
    </row>
    <row r="77" spans="1:21" ht="22" hidden="1" x14ac:dyDescent="0.35">
      <c r="A77" s="6">
        <v>8</v>
      </c>
      <c r="B77" s="38">
        <v>534600020</v>
      </c>
      <c r="C77" s="39" t="s">
        <v>51</v>
      </c>
      <c r="D77" s="12"/>
      <c r="E77" s="8"/>
      <c r="F77" s="3"/>
      <c r="G77" s="12"/>
      <c r="H77" s="8"/>
      <c r="I77" s="3"/>
      <c r="J77" s="12"/>
      <c r="K77" s="8"/>
      <c r="L77" s="3"/>
      <c r="M77" s="17"/>
      <c r="N77" s="8"/>
      <c r="O77" s="3"/>
      <c r="P77" s="15"/>
      <c r="Q77" s="8"/>
      <c r="R77" s="3"/>
      <c r="U77" s="1" t="s">
        <v>2</v>
      </c>
    </row>
    <row r="78" spans="1:21" hidden="1" x14ac:dyDescent="0.35">
      <c r="C78" s="42" t="s">
        <v>13</v>
      </c>
      <c r="D78" s="9"/>
      <c r="G78" s="9"/>
      <c r="J78" s="9"/>
      <c r="M78" s="9"/>
      <c r="P78" s="9"/>
    </row>
    <row r="79" spans="1:21" hidden="1" x14ac:dyDescent="0.35">
      <c r="C79" s="42" t="s">
        <v>14</v>
      </c>
      <c r="D79" s="9"/>
      <c r="F79" s="5"/>
      <c r="G79" s="9"/>
      <c r="J79" s="9"/>
      <c r="L79" s="5"/>
      <c r="M79" s="9"/>
      <c r="P79" s="9"/>
    </row>
    <row r="80" spans="1:21" hidden="1" x14ac:dyDescent="0.35">
      <c r="C80" s="42"/>
      <c r="D80" s="9"/>
      <c r="F80" s="5"/>
      <c r="G80" s="9"/>
      <c r="J80" s="9"/>
      <c r="L80" s="5"/>
      <c r="M80" s="9"/>
      <c r="P80" s="1" t="s">
        <v>2</v>
      </c>
    </row>
    <row r="81" spans="1:22" hidden="1" x14ac:dyDescent="0.35">
      <c r="C81" s="42"/>
      <c r="D81" s="9"/>
      <c r="F81" s="5"/>
      <c r="G81" s="9"/>
      <c r="J81" s="9"/>
      <c r="L81" s="5"/>
      <c r="M81" s="9"/>
    </row>
    <row r="82" spans="1:22" hidden="1" x14ac:dyDescent="0.35">
      <c r="A82" s="204" t="s">
        <v>5</v>
      </c>
      <c r="B82" s="204" t="s">
        <v>12</v>
      </c>
      <c r="C82" s="204" t="s">
        <v>0</v>
      </c>
      <c r="D82" s="207" t="s">
        <v>31</v>
      </c>
      <c r="E82" s="207"/>
      <c r="F82" s="207"/>
      <c r="G82" s="207" t="s">
        <v>32</v>
      </c>
      <c r="H82" s="207"/>
      <c r="I82" s="207"/>
      <c r="J82" s="207" t="s">
        <v>33</v>
      </c>
      <c r="K82" s="207"/>
      <c r="L82" s="207"/>
      <c r="M82" s="207" t="s">
        <v>34</v>
      </c>
      <c r="N82" s="207"/>
      <c r="O82" s="207"/>
      <c r="P82" s="214" t="s">
        <v>35</v>
      </c>
      <c r="Q82" s="215"/>
      <c r="R82" s="216"/>
    </row>
    <row r="83" spans="1:22" hidden="1" x14ac:dyDescent="0.35">
      <c r="A83" s="204"/>
      <c r="B83" s="204"/>
      <c r="C83" s="204"/>
      <c r="D83" s="44" t="s">
        <v>17</v>
      </c>
      <c r="E83" s="44" t="s">
        <v>6</v>
      </c>
      <c r="F83" s="44" t="s">
        <v>3</v>
      </c>
      <c r="G83" s="44" t="s">
        <v>17</v>
      </c>
      <c r="H83" s="44" t="s">
        <v>6</v>
      </c>
      <c r="I83" s="44" t="s">
        <v>3</v>
      </c>
      <c r="J83" s="44" t="s">
        <v>17</v>
      </c>
      <c r="K83" s="44" t="s">
        <v>6</v>
      </c>
      <c r="L83" s="44" t="s">
        <v>3</v>
      </c>
      <c r="M83" s="44" t="s">
        <v>17</v>
      </c>
      <c r="N83" s="44" t="s">
        <v>6</v>
      </c>
      <c r="O83" s="44" t="s">
        <v>3</v>
      </c>
      <c r="P83" s="44" t="s">
        <v>17</v>
      </c>
      <c r="Q83" s="44" t="s">
        <v>6</v>
      </c>
      <c r="R83" s="44" t="s">
        <v>3</v>
      </c>
    </row>
    <row r="84" spans="1:22" hidden="1" x14ac:dyDescent="0.35">
      <c r="A84" s="204"/>
      <c r="B84" s="204"/>
      <c r="C84" s="204"/>
      <c r="D84" s="14"/>
      <c r="E84" s="14"/>
      <c r="F84" s="34"/>
      <c r="G84" s="14"/>
      <c r="H84" s="14"/>
      <c r="I84" s="36"/>
      <c r="J84" s="14"/>
      <c r="K84" s="14"/>
      <c r="L84" s="34"/>
      <c r="M84" s="14"/>
      <c r="N84" s="14"/>
      <c r="O84" s="34"/>
      <c r="P84" s="43"/>
      <c r="Q84" s="43"/>
      <c r="R84" s="35"/>
    </row>
    <row r="85" spans="1:22" ht="22" hidden="1" x14ac:dyDescent="0.35">
      <c r="A85" s="6">
        <v>1</v>
      </c>
      <c r="B85" s="38">
        <v>534600011</v>
      </c>
      <c r="C85" s="39" t="s">
        <v>44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2</v>
      </c>
      <c r="B86" s="38">
        <v>534600012</v>
      </c>
      <c r="C86" s="39" t="s">
        <v>45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3</v>
      </c>
      <c r="B87" s="38">
        <v>534600013</v>
      </c>
      <c r="C87" s="39" t="s">
        <v>46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</row>
    <row r="88" spans="1:22" ht="22" hidden="1" x14ac:dyDescent="0.35">
      <c r="A88" s="6">
        <v>4</v>
      </c>
      <c r="B88" s="38">
        <v>534600014</v>
      </c>
      <c r="C88" s="39" t="s">
        <v>47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5</v>
      </c>
      <c r="B89" s="38">
        <v>534600017</v>
      </c>
      <c r="C89" s="39" t="s">
        <v>48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t="22" hidden="1" x14ac:dyDescent="0.35">
      <c r="A90" s="6">
        <v>6</v>
      </c>
      <c r="B90" s="38">
        <v>534600018</v>
      </c>
      <c r="C90" s="39" t="s">
        <v>49</v>
      </c>
      <c r="D90" s="12"/>
      <c r="E90" s="8"/>
      <c r="F90" s="3"/>
      <c r="G90" s="12"/>
      <c r="H90" s="8"/>
      <c r="I90" s="3"/>
      <c r="J90" s="12"/>
      <c r="K90" s="8"/>
      <c r="L90" s="3"/>
      <c r="M90" s="17"/>
      <c r="N90" s="8"/>
      <c r="O90" s="3"/>
      <c r="P90" s="12"/>
      <c r="Q90" s="8"/>
      <c r="R90" s="3"/>
      <c r="V90" s="1" t="s">
        <v>2</v>
      </c>
    </row>
    <row r="91" spans="1:22" ht="22" hidden="1" x14ac:dyDescent="0.35">
      <c r="A91" s="6">
        <v>7</v>
      </c>
      <c r="B91" s="38">
        <v>534600019</v>
      </c>
      <c r="C91" s="39" t="s">
        <v>50</v>
      </c>
      <c r="D91" s="12"/>
      <c r="E91" s="8"/>
      <c r="F91" s="3"/>
      <c r="G91" s="12"/>
      <c r="H91" s="8"/>
      <c r="I91" s="3"/>
      <c r="J91" s="12"/>
      <c r="K91" s="8"/>
      <c r="L91" s="3"/>
      <c r="M91" s="17"/>
      <c r="N91" s="8"/>
      <c r="O91" s="3"/>
      <c r="P91" s="12"/>
      <c r="Q91" s="8"/>
      <c r="R91" s="3"/>
    </row>
    <row r="92" spans="1:22" ht="22" hidden="1" x14ac:dyDescent="0.35">
      <c r="A92" s="6">
        <v>8</v>
      </c>
      <c r="B92" s="38">
        <v>534600020</v>
      </c>
      <c r="C92" s="39" t="s">
        <v>51</v>
      </c>
      <c r="D92" s="12"/>
      <c r="E92" s="8"/>
      <c r="F92" s="3"/>
      <c r="G92" s="12"/>
      <c r="H92" s="8"/>
      <c r="I92" s="3"/>
      <c r="J92" s="12"/>
      <c r="K92" s="8"/>
      <c r="L92" s="3"/>
      <c r="M92" s="17"/>
      <c r="N92" s="8"/>
      <c r="O92" s="3"/>
      <c r="P92" s="12"/>
      <c r="Q92" s="8"/>
      <c r="R92" s="3"/>
    </row>
    <row r="93" spans="1:22" hidden="1" x14ac:dyDescent="0.35">
      <c r="C93" s="42" t="s">
        <v>13</v>
      </c>
      <c r="D93" s="9"/>
      <c r="G93" s="9"/>
      <c r="J93" s="9"/>
      <c r="M93" s="9"/>
      <c r="P93" s="9"/>
      <c r="U93" s="1" t="s">
        <v>2</v>
      </c>
    </row>
    <row r="94" spans="1:22" hidden="1" x14ac:dyDescent="0.35">
      <c r="C94" s="42" t="s">
        <v>14</v>
      </c>
      <c r="D94" s="9"/>
      <c r="F94" s="5"/>
      <c r="G94" s="9"/>
      <c r="J94" s="9"/>
      <c r="L94" s="5"/>
      <c r="M94" s="9"/>
      <c r="P94" s="9"/>
    </row>
    <row r="95" spans="1:22" hidden="1" x14ac:dyDescent="0.35">
      <c r="C95" s="42"/>
      <c r="D95" s="9"/>
      <c r="F95" s="5"/>
      <c r="G95" s="9"/>
      <c r="J95" s="9"/>
      <c r="L95" s="5"/>
      <c r="M95" s="9"/>
      <c r="P95" s="9"/>
      <c r="S95" s="2"/>
      <c r="T95" s="2"/>
    </row>
    <row r="96" spans="1:22" x14ac:dyDescent="0.35">
      <c r="C96" s="42"/>
      <c r="D96" s="9"/>
      <c r="F96" s="5"/>
      <c r="G96" s="9"/>
      <c r="J96" s="9"/>
      <c r="L96" s="5"/>
      <c r="M96" s="9"/>
      <c r="P96" s="9"/>
      <c r="S96" s="2" t="str">
        <f>IF($E$116="A","4",IF($E$116="B+","3.5",IF($E$116="B","3",IF($E$116="C+","2.5",IF($E$116="C","2",IF($E$116="D+","1.5",IF($E$116="D","1","-")))))))</f>
        <v>4</v>
      </c>
      <c r="T96" s="2" t="str">
        <f>IF(S96="4","A",IF(S96="3.5","B+",IF(S96="3","B",IF(S96="2.5","C+",IF(S96="2","C",IF(S96="1.5","D+",IF(S96="1","D","-")))))))</f>
        <v>A</v>
      </c>
    </row>
    <row r="97" spans="1:20" x14ac:dyDescent="0.35">
      <c r="C97" s="42"/>
      <c r="D97" s="9"/>
      <c r="F97" s="5"/>
      <c r="G97" s="9"/>
      <c r="S97" s="2">
        <f>$S$96-0.5</f>
        <v>3.5</v>
      </c>
      <c r="T97" s="2" t="str">
        <f>IF(S97=4,"A",IF(S97=3.5,"B+",IF(S97=3,"B",IF(S97=2.5,"C+",IF(S97=2,"C",IF(S97=1.5,"D+",IF(S97=1,"D","E")))))))</f>
        <v>B+</v>
      </c>
    </row>
    <row r="98" spans="1:20" ht="22" thickBot="1" x14ac:dyDescent="0.4">
      <c r="A98" s="217" t="s">
        <v>76</v>
      </c>
      <c r="B98" s="217" t="s">
        <v>12</v>
      </c>
      <c r="C98" s="217" t="s">
        <v>0</v>
      </c>
      <c r="D98" s="217" t="s">
        <v>1</v>
      </c>
      <c r="E98" s="217"/>
      <c r="F98" s="217"/>
      <c r="G98" s="217"/>
      <c r="I98" s="5" t="s">
        <v>38</v>
      </c>
      <c r="J98" s="9"/>
      <c r="L98" s="5"/>
      <c r="N98" s="5" t="s">
        <v>39</v>
      </c>
      <c r="P98" s="9"/>
      <c r="S98" s="2">
        <f>$S$96-1</f>
        <v>3</v>
      </c>
      <c r="T98" s="2" t="str">
        <f t="shared" ref="T98:T99" si="26">IF(S98=4,"A",IF(S98=3.5,"B+",IF(S98=3,"B",IF(S98=2.5,"C+",IF(S98=2,"C",IF(S98=1.5,"D+",IF(S98=1,"D","E")))))))</f>
        <v>B</v>
      </c>
    </row>
    <row r="99" spans="1:20" ht="22" thickBot="1" x14ac:dyDescent="0.4">
      <c r="A99" s="217"/>
      <c r="B99" s="217"/>
      <c r="C99" s="217"/>
      <c r="D99" s="30" t="str">
        <f>SUM(E7,H7,K7,N7,Q7,E22,H22,K22,N22,Q22,E38,H38,K38,N38,Q38,E54,H54,K54,N54,Q54,E69,H69,K69,N69,Q69,E84,H84,K84,N84,Q84)&amp;"%"</f>
        <v>100%</v>
      </c>
      <c r="E99" s="30" t="str">
        <f>SUM(F7,I7,L7,O7,R7,F22,I22,L22,O22,R22,F38,I38,L38,O38,R38,F54,I54,L54,O54,R54,F69,I69,L69,O69,R69,F84,I84,L84,O84,R84)&amp;"T"</f>
        <v>10T</v>
      </c>
      <c r="F99" s="44" t="s">
        <v>36</v>
      </c>
      <c r="G99" s="44" t="s">
        <v>37</v>
      </c>
      <c r="I99" s="25" t="s">
        <v>15</v>
      </c>
      <c r="J99" s="25" t="s">
        <v>16</v>
      </c>
      <c r="K99" s="25" t="s">
        <v>4</v>
      </c>
      <c r="L99" s="25" t="s">
        <v>1</v>
      </c>
      <c r="N99" s="25" t="s">
        <v>15</v>
      </c>
      <c r="O99" s="29"/>
      <c r="P99" s="25" t="s">
        <v>16</v>
      </c>
      <c r="Q99" s="25" t="s">
        <v>4</v>
      </c>
      <c r="R99" s="25" t="s">
        <v>1</v>
      </c>
      <c r="S99" s="2">
        <f>$S$96-1.5</f>
        <v>2.5</v>
      </c>
      <c r="T99" s="2" t="str">
        <f t="shared" si="26"/>
        <v>C+</v>
      </c>
    </row>
    <row r="100" spans="1:20" ht="22" x14ac:dyDescent="0.35">
      <c r="A100" s="53">
        <v>1</v>
      </c>
      <c r="B100" s="54">
        <v>5346000035</v>
      </c>
      <c r="C100" s="55" t="s">
        <v>90</v>
      </c>
      <c r="D100" s="56">
        <f t="shared" ref="D100:E106" si="27">ROUND(SUM(E8,H8,K8,N8,Q8,E23,H23,K23,N23,Q23,E39,H39,K39,N39,Q39,E55,H55,K55,N55,Q55,E70,H70,K70,N70,Q70,E85,H85,K85,N85,Q85),2)</f>
        <v>83.36</v>
      </c>
      <c r="E100" s="56">
        <f>ROUND(SUM(F8,I8,L8,O8,R8,F23,I23,L23,O23,R23,F39,I39,L39,O39,R39,F55,I55,L55,O55,R55,F70,I70,L70,O70,R70,F85,I85,L85,O85,R85),2)</f>
        <v>406.36</v>
      </c>
      <c r="F100" s="57" t="str">
        <f>IF($I$103="-","-",IF(E100&gt;=$I$100,$K$100,IF(E100&gt;=$I$101,$K$101,IF(E100&gt;=$I$102,$K$102,IF(E100&gt;=$I$103,$K$103,IF(E100&gt;=$I$104,$K$104,IF(E100&gt;=$I$105,$K$105,IF(E100&gt;=$I$106,$K$106,IF(E100&gt;=$I$107,$K$107)))))))))</f>
        <v>-</v>
      </c>
      <c r="G100" s="57" t="str">
        <f>IF($O$103="-","-",IF(E100&gt;=$N$100,$Q$100,IF(E100&gt;=$N$101,$Q$101,IF(E100&gt;=$N$102,$Q$102,IF(E100&gt;=$N$103,$Q$103,IF(E100&gt;=$N$104,$Q$104,IF(E100&gt;=$N$105,$Q$105,IF(E100&lt;=$P$106,$Q$106))))))))</f>
        <v>B</v>
      </c>
      <c r="I100" s="26" t="str">
        <f>IF(OR($E$114=8),$J$101+0.01,"-")</f>
        <v>-</v>
      </c>
      <c r="J100" s="26" t="str">
        <f>IF(OR($E$114=8),$I$100+$E$115,"-")</f>
        <v>-</v>
      </c>
      <c r="K100" s="27" t="str">
        <f>IF($E$114=8,$T$96,"-")</f>
        <v>-</v>
      </c>
      <c r="L100" s="27" t="str">
        <f t="shared" ref="L100:L106" si="28">IF(F100="-","-",COUNTIF($F$100:$F$108,K100))</f>
        <v>-</v>
      </c>
      <c r="M100" s="20" t="e">
        <f>IF($O$103="-",J100-I100,P100-N100)</f>
        <v>#VALUE!</v>
      </c>
      <c r="N100" s="26" t="str">
        <f>IF(OR($E$114=7),$P$101+0.01,"-")</f>
        <v>-</v>
      </c>
      <c r="O100" s="28"/>
      <c r="P100" s="26" t="str">
        <f>IF(OR($E$114=7),$N$100+$E$115,"-")</f>
        <v>-</v>
      </c>
      <c r="Q100" s="27" t="str">
        <f>IF($E$114=7,$T$96,"-")</f>
        <v>-</v>
      </c>
      <c r="R100" s="27">
        <f t="shared" ref="R100:R106" si="29">IF(G100="-","-",COUNTIF($G$100:$G$108,Q100))</f>
        <v>0</v>
      </c>
      <c r="S100" s="2">
        <f>$S$96-2</f>
        <v>2</v>
      </c>
      <c r="T100" s="2" t="str">
        <f>IF(S100=4,"A",IF(S100=3.5,"B+",IF(S100=3,"B",IF(S100=2.5,"C+",IF(S100=2,"C",IF(S100=1.5,"D+",IF(S100=1,"D","E")))))))</f>
        <v>C</v>
      </c>
    </row>
    <row r="101" spans="1:20" ht="22" x14ac:dyDescent="0.35">
      <c r="A101" s="6">
        <v>11</v>
      </c>
      <c r="B101" s="38">
        <v>5546000010</v>
      </c>
      <c r="C101" s="39" t="s">
        <v>91</v>
      </c>
      <c r="D101" s="8">
        <f t="shared" si="27"/>
        <v>84.64</v>
      </c>
      <c r="E101" s="8">
        <f t="shared" si="27"/>
        <v>451.93</v>
      </c>
      <c r="F101" s="7" t="str">
        <f t="shared" ref="F101:F108" si="30">IF($I$103="-","-",IF(E101&gt;=$I$100,$K$100,IF(E101&gt;=$I$101,$K$101,IF(E101&gt;=$I$102,$K$102,IF(E101&gt;=$I$103,$K$103,IF(E101&gt;=$I$104,$K$104,IF(E101&gt;=$I$105,$K$105,IF(E101&gt;=$I$106,$K$106,IF(E101&gt;=$I$107,$K$107)))))))))</f>
        <v>-</v>
      </c>
      <c r="G101" s="7" t="str">
        <f t="shared" ref="G101:G108" si="31">IF($O$103="-","-",IF(E101&gt;=$N$100,$Q$100,IF(E101&gt;=$N$101,$Q$101,IF(E101&gt;=$N$102,$Q$102,IF(E101&gt;=$N$103,$Q$103,IF(E101&gt;=$N$104,$Q$104,IF(E101&gt;=$N$105,$Q$105,IF(E101&lt;=$P$106,$Q$106))))))))</f>
        <v>B</v>
      </c>
      <c r="I101" s="8" t="str">
        <f>IF(OR($E$114=8,$E$114=6),$J$102+0.01,"-")</f>
        <v>-</v>
      </c>
      <c r="J101" s="8" t="str">
        <f>IF(OR($E$114=8,$E$114=6),$I$101+$E$115,"-")</f>
        <v>-</v>
      </c>
      <c r="K101" s="7" t="str">
        <f>IF($E$114=8,$T$97,IF($E$114=6,$T$96,"-"))</f>
        <v>-</v>
      </c>
      <c r="L101" s="7" t="str">
        <f t="shared" si="28"/>
        <v>-</v>
      </c>
      <c r="M101" s="20" t="e">
        <f t="shared" ref="M101:M107" si="32">IF($O$103="-",J101-I101,P101-N101)</f>
        <v>#VALUE!</v>
      </c>
      <c r="N101" s="8" t="str">
        <f>IF(OR($E$114=5,$E$114=7),$P$102+0.01,"-")</f>
        <v>-</v>
      </c>
      <c r="O101" s="13"/>
      <c r="P101" s="8" t="str">
        <f>IF(OR($E$114=5,$E$114=7),$N$101+$E$115,"-")</f>
        <v>-</v>
      </c>
      <c r="Q101" s="7" t="str">
        <f>IF($E$114=7,$T$97,IF($E$114=5,$T$96,"-"))</f>
        <v>-</v>
      </c>
      <c r="R101" s="7">
        <f t="shared" si="29"/>
        <v>0</v>
      </c>
      <c r="S101" s="2">
        <f>$S$96-2.5</f>
        <v>1.5</v>
      </c>
      <c r="T101" s="2" t="str">
        <f>IF(S101=4,"A",IF(S101=3.5,"B+",IF(S101=3,"B",IF(S101=2.5,"C+",IF(S101=2,"C",IF(S101=1.5,"D+",IF(S101=1,"D","E")))))))</f>
        <v>D+</v>
      </c>
    </row>
    <row r="102" spans="1:20" ht="22" x14ac:dyDescent="0.35">
      <c r="A102" s="6">
        <v>21</v>
      </c>
      <c r="B102" s="38">
        <v>5546000020</v>
      </c>
      <c r="C102" s="39" t="s">
        <v>92</v>
      </c>
      <c r="D102" s="8">
        <f t="shared" si="27"/>
        <v>84.97</v>
      </c>
      <c r="E102" s="8">
        <f t="shared" si="27"/>
        <v>447.83</v>
      </c>
      <c r="F102" s="7" t="str">
        <f t="shared" si="30"/>
        <v>-</v>
      </c>
      <c r="G102" s="7" t="str">
        <f t="shared" si="31"/>
        <v>B</v>
      </c>
      <c r="I102" s="6" t="str">
        <f>IF(OR($E$114=8,$E$114=6,$E$114=4),$J$103+0.01,"-")</f>
        <v>-</v>
      </c>
      <c r="J102" s="6" t="str">
        <f>IF(OR($E$114=8,$E$114=6,$E$114=4),$I$102+$E$115,"-")</f>
        <v>-</v>
      </c>
      <c r="K102" s="7" t="str">
        <f>IF($E$114=8,$T$98,IF($E$114=6,$T$97,IF($E$114=4,$T$96,"-")))</f>
        <v>-</v>
      </c>
      <c r="L102" s="7" t="str">
        <f t="shared" si="28"/>
        <v>-</v>
      </c>
      <c r="M102" s="20">
        <f t="shared" si="32"/>
        <v>63.67999999999995</v>
      </c>
      <c r="N102" s="8">
        <f>IF(OR($E$114=3,$E$114=5,$E$114=7),$P$103+0.01,"-")</f>
        <v>531.85</v>
      </c>
      <c r="O102" s="13"/>
      <c r="P102" s="8">
        <f>IF(OR($E$114=3,$E$114=5,$E$114=7),$N$102+$E$115,"-")</f>
        <v>595.53</v>
      </c>
      <c r="Q102" s="7" t="str">
        <f>IF($E$114=7,$T$98,IF($E$114=5,$T$97,IF($E$114=3,$T$96,"-")))</f>
        <v>A</v>
      </c>
      <c r="R102" s="7">
        <f t="shared" si="29"/>
        <v>2</v>
      </c>
      <c r="S102" s="2">
        <f>$S$96-3</f>
        <v>1</v>
      </c>
      <c r="T102" s="2" t="str">
        <f>IF(S102=4,"A",IF(S102=3.5,"B+",IF(S102=3,"B",IF(S102=2.5,"C+",IF(S102=2,"C",IF(S102=1.5,"D+",IF(S102=1,"D","E")))))))</f>
        <v>D</v>
      </c>
    </row>
    <row r="103" spans="1:20" ht="22" x14ac:dyDescent="0.35">
      <c r="A103" s="6">
        <v>31</v>
      </c>
      <c r="B103" s="38">
        <v>5546000030</v>
      </c>
      <c r="C103" s="39" t="s">
        <v>93</v>
      </c>
      <c r="D103" s="8">
        <f t="shared" si="27"/>
        <v>85.72</v>
      </c>
      <c r="E103" s="8">
        <f t="shared" si="27"/>
        <v>475.09</v>
      </c>
      <c r="F103" s="46" t="str">
        <f>IF($I$103="-","-",IF(E103&gt;=$I$100,$K$100,IF(E103&gt;=$I$101,$K$101,IF(E103&gt;=$I$102,$K$102,IF(E103&gt;=$I$103,$K$103,IF(E103&gt;=$I$104,$K$104,IF(E103&gt;=$I$105,$K$105,IF(E103&gt;=$I$106,$K$106,IF(E103&gt;=$I$107,$K$107)))))))))</f>
        <v>-</v>
      </c>
      <c r="G103" s="7" t="str">
        <f t="shared" si="31"/>
        <v>B+</v>
      </c>
      <c r="I103" s="31" t="str">
        <f>IF(OR($E$114=2,$E$114=4,$E$114=6,$E$114=8),$E$110,"-")</f>
        <v>-</v>
      </c>
      <c r="J103" s="8" t="str">
        <f>IF(OR($E$114=2,$E$114=4,$E$114=6,$E$114=8),$E$110+$E$115,"-")</f>
        <v>-</v>
      </c>
      <c r="K103" s="7" t="str">
        <f>IF($E$114=8,$T$99,IF($E$114=6,$T$98,IF($E$114=4,$T$97,IF($E$114=2,$T$96,"-"))))</f>
        <v>-</v>
      </c>
      <c r="L103" s="7" t="str">
        <f t="shared" si="28"/>
        <v>-</v>
      </c>
      <c r="M103" s="20">
        <f t="shared" si="32"/>
        <v>63.680000000000007</v>
      </c>
      <c r="N103" s="8">
        <f>IF(OR($E$114=1,$E$114=3,$E$114=5,$E$114=7),$E$110-($E$115/2),"-")</f>
        <v>468.16</v>
      </c>
      <c r="O103" s="31">
        <f>IF(OR($E$114=1,$E$114=3,$E$114=5,$E$114=7),$E$110,"-")</f>
        <v>500</v>
      </c>
      <c r="P103" s="8">
        <f>IF(OR($E$114=1,$E$114=3,$E$114=5,$E$114=7),$E$110+($E$115/2),"-")</f>
        <v>531.84</v>
      </c>
      <c r="Q103" s="7" t="str">
        <f>IF($E$114=7,$T$99,IF($E$114=5,$T$98,IF($E$114=3,$T$97,IF($E$114=1,$T$96,"-"))))</f>
        <v>B+</v>
      </c>
      <c r="R103" s="7">
        <f t="shared" si="29"/>
        <v>4</v>
      </c>
      <c r="S103" s="2">
        <f>$S$96-3.5</f>
        <v>0.5</v>
      </c>
      <c r="T103" s="2" t="str">
        <f>IF(S103=4,"A",IF(S103=3.5,"B+",IF(S103=3,"B",IF(S103=2.5,"C+",IF(S103=2,"C",IF(S103=1.5,"D+",IF(S103=1,"D","E")))))))</f>
        <v>E</v>
      </c>
    </row>
    <row r="104" spans="1:20" ht="22" x14ac:dyDescent="0.35">
      <c r="A104" s="6">
        <v>41</v>
      </c>
      <c r="B104" s="38">
        <v>5546000040</v>
      </c>
      <c r="C104" s="39" t="s">
        <v>94</v>
      </c>
      <c r="D104" s="8">
        <f t="shared" si="27"/>
        <v>86.2</v>
      </c>
      <c r="E104" s="8">
        <f t="shared" si="27"/>
        <v>492.55</v>
      </c>
      <c r="F104" s="7" t="str">
        <f t="shared" si="30"/>
        <v>-</v>
      </c>
      <c r="G104" s="7" t="str">
        <f t="shared" si="31"/>
        <v>B+</v>
      </c>
      <c r="I104" s="6" t="str">
        <f>IF(OR($E$114=2,$E$114=4,$E$114=6,$E$114=8),$J$104-$E$115,"-")</f>
        <v>-</v>
      </c>
      <c r="J104" s="8" t="str">
        <f>IF(OR($E$114=2,$E$114=4,$E$114=6,$E$114=8),$I$103-0.01,"-")</f>
        <v>-</v>
      </c>
      <c r="K104" s="7" t="str">
        <f>IF($E$114=8,$T$100,IF($E$114=6,$T$99,IF($E$114=4,$T$98,IF($E$114=2,$T$97,"-"))))</f>
        <v>-</v>
      </c>
      <c r="L104" s="7" t="str">
        <f t="shared" si="28"/>
        <v>-</v>
      </c>
      <c r="M104" s="20">
        <f t="shared" si="32"/>
        <v>63.680000000000007</v>
      </c>
      <c r="N104" s="8">
        <f>IF(OR($E$114=3,$E$114=5,$E$114=7),$P$104-$E$115,"-")</f>
        <v>404.47</v>
      </c>
      <c r="O104" s="13"/>
      <c r="P104" s="8">
        <f>IF(OR($E$114=3,$E$114=5,$E$114=7),$N$103-0.01,"-")</f>
        <v>468.15000000000003</v>
      </c>
      <c r="Q104" s="7" t="str">
        <f>IF($E$114=7,$T$100,IF($E$114=5,$T$99,IF($E$114=3,$T$98,"-")))</f>
        <v>B</v>
      </c>
      <c r="R104" s="7">
        <f t="shared" si="29"/>
        <v>3</v>
      </c>
      <c r="S104" s="2">
        <f>$S$96-4</f>
        <v>0</v>
      </c>
      <c r="T104" s="2" t="str">
        <f>IF(S104=4,"A",IF(S104=3.5,"B+",IF(S104=3,"B",IF(S104=2.5,"C+",IF(S104=2,"C",IF(S104=1.5,"D+",IF(S104=1,"D","E")))))))</f>
        <v>E</v>
      </c>
    </row>
    <row r="105" spans="1:20" ht="22" x14ac:dyDescent="0.35">
      <c r="A105" s="6">
        <v>51</v>
      </c>
      <c r="B105" s="38">
        <v>5546000050</v>
      </c>
      <c r="C105" s="39" t="s">
        <v>95</v>
      </c>
      <c r="D105" s="8">
        <f t="shared" si="27"/>
        <v>88.72</v>
      </c>
      <c r="E105" s="8">
        <f t="shared" si="27"/>
        <v>588.85</v>
      </c>
      <c r="F105" s="7" t="str">
        <f t="shared" si="30"/>
        <v>-</v>
      </c>
      <c r="G105" s="7" t="str">
        <f t="shared" si="31"/>
        <v>A</v>
      </c>
      <c r="I105" s="47" t="str">
        <f>IF(OR($E$114=4,$E$114=6,$E$114=8),$J$105-$E$115,"-")</f>
        <v>-</v>
      </c>
      <c r="J105" s="6" t="str">
        <f>IF(OR($E$114=8,$E$114=6,$E$114=4),$I$104-0.01,"-")</f>
        <v>-</v>
      </c>
      <c r="K105" s="7" t="str">
        <f>IF($E$114=8,$T$101,IF($E$114=6,$T$100,IF($E$114=4,$T$99,"-")))</f>
        <v>-</v>
      </c>
      <c r="L105" s="7" t="str">
        <f t="shared" si="28"/>
        <v>-</v>
      </c>
      <c r="M105" s="20" t="e">
        <f t="shared" si="32"/>
        <v>#VALUE!</v>
      </c>
      <c r="N105" s="8" t="str">
        <f>IF(OR($E$114=5,$E$114=7),$P$105-$E$115,"-")</f>
        <v>-</v>
      </c>
      <c r="O105" s="13"/>
      <c r="P105" s="8" t="str">
        <f>IF(OR($E$114=5,$E$114=7),$N$104-0.01,"-")</f>
        <v>-</v>
      </c>
      <c r="Q105" s="7" t="str">
        <f>IF($E$114=7,$T$101,IF($E$114=5,$T$100,"-"))</f>
        <v>-</v>
      </c>
      <c r="R105" s="7">
        <f t="shared" si="29"/>
        <v>0</v>
      </c>
    </row>
    <row r="106" spans="1:20" ht="23" thickBot="1" x14ac:dyDescent="0.4">
      <c r="A106" s="6">
        <v>61</v>
      </c>
      <c r="B106" s="38">
        <v>5546000060</v>
      </c>
      <c r="C106" s="39" t="s">
        <v>96</v>
      </c>
      <c r="D106" s="8">
        <f t="shared" si="27"/>
        <v>89.02</v>
      </c>
      <c r="E106" s="8">
        <f t="shared" si="27"/>
        <v>597.41</v>
      </c>
      <c r="F106" s="7" t="str">
        <f t="shared" si="30"/>
        <v>-</v>
      </c>
      <c r="G106" s="7" t="str">
        <f t="shared" si="31"/>
        <v>A</v>
      </c>
      <c r="I106" s="6" t="str">
        <f>IF(OR($E$114=6,$E$114=8),$J$106-$E$115,"-")</f>
        <v>-</v>
      </c>
      <c r="J106" s="6" t="str">
        <f>IF(OR($E$114=8,$E$114=6),$I$105-0.01,"-")</f>
        <v>-</v>
      </c>
      <c r="K106" s="7" t="str">
        <f>IF($E$114=8,$T$102,IF($E$114=6,$T$101,IF($E$114=4,"-","-")))</f>
        <v>-</v>
      </c>
      <c r="L106" s="7" t="str">
        <f t="shared" si="28"/>
        <v>-</v>
      </c>
      <c r="M106" s="20" t="e">
        <f t="shared" si="32"/>
        <v>#VALUE!</v>
      </c>
      <c r="N106" s="23" t="str">
        <f>IF(OR($E$114=7),$P$106-$E$115,"-")</f>
        <v>-</v>
      </c>
      <c r="O106" s="24"/>
      <c r="P106" s="23" t="str">
        <f>IF(OR($E$114=7),$N$105-0.01,"-")</f>
        <v>-</v>
      </c>
      <c r="Q106" s="22" t="str">
        <f>IF($E$114=7,$T$102,"-")</f>
        <v>-</v>
      </c>
      <c r="R106" s="7">
        <f t="shared" si="29"/>
        <v>0</v>
      </c>
    </row>
    <row r="107" spans="1:20" ht="23" thickBot="1" x14ac:dyDescent="0.4">
      <c r="A107" s="6">
        <v>71</v>
      </c>
      <c r="B107" s="38">
        <v>5546000070</v>
      </c>
      <c r="C107" s="39" t="s">
        <v>97</v>
      </c>
      <c r="D107" s="8">
        <f>ROUND(SUM(E15,H15,K15,N15,Q15,E30,H30,K30,N30,Q30,E46,H46,K46,N46,Q46,E61,H61,K61,N61,Q61,E76,H76,K76,N76,Q76,E91,H91,K91,N91,Q91),2)</f>
        <v>86.49</v>
      </c>
      <c r="E107" s="8">
        <f>ROUND(SUM(F15,I15,L15,O15,R15,F30,I30,L30,O30,R30,F46,I46,L46,O46,R46,F61,I61,L61,O61,R61,F76,I76,L76,O76,R76,F91,I91,L91,O91,R91),2)</f>
        <v>511.01</v>
      </c>
      <c r="F107" s="7" t="str">
        <f t="shared" si="30"/>
        <v>-</v>
      </c>
      <c r="G107" s="7" t="str">
        <f t="shared" si="31"/>
        <v>B+</v>
      </c>
      <c r="I107" s="21" t="str">
        <f>IF(OR($E$114=8),$J$107-$E$115,"-")</f>
        <v>-</v>
      </c>
      <c r="J107" s="21" t="str">
        <f>IF($E$114=8,$I$106-0.01,"-")</f>
        <v>-</v>
      </c>
      <c r="K107" s="22" t="str">
        <f>IF($E$114=8,$T$103,IF($E$114=6,"-","-"))</f>
        <v>-</v>
      </c>
      <c r="L107" s="7" t="str">
        <f>IF(F108="-","-",COUNTIF($F$100:$F$108,K107))</f>
        <v>-</v>
      </c>
      <c r="M107" s="20" t="e">
        <f t="shared" si="32"/>
        <v>#VALUE!</v>
      </c>
      <c r="N107" s="218" t="s">
        <v>1</v>
      </c>
      <c r="O107" s="219"/>
      <c r="P107" s="219"/>
      <c r="Q107" s="220"/>
      <c r="R107" s="33">
        <f>SUM($R$100:$R$106)</f>
        <v>9</v>
      </c>
    </row>
    <row r="108" spans="1:20" ht="23" thickBot="1" x14ac:dyDescent="0.4">
      <c r="A108" s="6">
        <v>81</v>
      </c>
      <c r="B108" s="38">
        <v>5546000080</v>
      </c>
      <c r="C108" s="39" t="s">
        <v>98</v>
      </c>
      <c r="D108" s="8">
        <f>ROUND(SUM(E16,H16,K16,N16,Q16,E31,H31,K31,N31,Q31,E47,H47,K47,N47,Q47,E62,H62,K62,N62,Q62,E77,H77,K77,N77,Q77,E92,H92,K92,N92,Q92),2)</f>
        <v>87</v>
      </c>
      <c r="E108" s="8">
        <f>ROUND(SUM(F16,I16,L16,O16,R16,F31,I31,L31,O31,R31,F47,I47,L47,O47,R47,F62,I62,L62,O62,R62,F77,I77,L77,O77,R77,F92,I92,L92,O92,R92),2)</f>
        <v>528.97</v>
      </c>
      <c r="F108" s="7" t="str">
        <f t="shared" si="30"/>
        <v>-</v>
      </c>
      <c r="G108" s="7" t="str">
        <f t="shared" si="31"/>
        <v>B+</v>
      </c>
      <c r="I108" s="218" t="s">
        <v>1</v>
      </c>
      <c r="J108" s="219"/>
      <c r="K108" s="220"/>
      <c r="L108" s="33">
        <f>SUM($L$100:$L$107)</f>
        <v>0</v>
      </c>
    </row>
    <row r="109" spans="1:20" x14ac:dyDescent="0.35">
      <c r="B109" s="18"/>
      <c r="C109" s="10"/>
      <c r="D109" s="19"/>
      <c r="E109" s="19"/>
    </row>
    <row r="110" spans="1:20" x14ac:dyDescent="0.35">
      <c r="C110" s="4" t="s">
        <v>13</v>
      </c>
      <c r="D110" s="37">
        <f>ROUND(AVERAGE($D$100:$D$108),2)</f>
        <v>86.24</v>
      </c>
      <c r="E110" s="37">
        <f>ROUND(AVERAGE($E$100:$E$108),2)</f>
        <v>500</v>
      </c>
      <c r="I110" s="45"/>
      <c r="J110" s="45"/>
    </row>
    <row r="111" spans="1:20" x14ac:dyDescent="0.35">
      <c r="C111" s="4" t="s">
        <v>18</v>
      </c>
      <c r="D111" s="37">
        <f>ROUND(MAX($D$100:$D$108),2)</f>
        <v>89.02</v>
      </c>
      <c r="E111" s="37">
        <f>ROUND(MAX($E$100:$E$108),2)</f>
        <v>597.41</v>
      </c>
      <c r="I111" s="45"/>
      <c r="J111" s="45"/>
      <c r="K111" s="45"/>
      <c r="L111" s="1" t="s">
        <v>2</v>
      </c>
    </row>
    <row r="112" spans="1:20" x14ac:dyDescent="0.35">
      <c r="C112" s="4" t="s">
        <v>19</v>
      </c>
      <c r="D112" s="37">
        <f>ROUND(MIN($D$100:$D$108),2)</f>
        <v>83.36</v>
      </c>
      <c r="E112" s="37">
        <f>ROUND(MIN($E$100:$E$108),2)</f>
        <v>406.36</v>
      </c>
      <c r="G112" s="1" t="s">
        <v>2</v>
      </c>
      <c r="I112" s="45"/>
      <c r="J112" s="45"/>
      <c r="K112" s="45"/>
    </row>
    <row r="113" spans="3:18" x14ac:dyDescent="0.35">
      <c r="C113" s="16" t="s">
        <v>20</v>
      </c>
      <c r="D113" s="4"/>
      <c r="E113" s="37">
        <f>ROUND($E$111-$E$112,2)</f>
        <v>191.05</v>
      </c>
      <c r="I113" s="45"/>
      <c r="J113" s="45"/>
    </row>
    <row r="114" spans="3:18" x14ac:dyDescent="0.35">
      <c r="C114" s="16" t="s">
        <v>7</v>
      </c>
      <c r="D114" s="4"/>
      <c r="E114" s="32">
        <v>3</v>
      </c>
      <c r="F114" s="1" t="s">
        <v>40</v>
      </c>
      <c r="N114" s="202" t="s">
        <v>42</v>
      </c>
      <c r="O114" s="202"/>
      <c r="P114" s="202"/>
      <c r="Q114" s="202"/>
      <c r="R114" s="202"/>
    </row>
    <row r="115" spans="3:18" x14ac:dyDescent="0.35">
      <c r="C115" s="16" t="s">
        <v>9</v>
      </c>
      <c r="D115" s="4"/>
      <c r="E115" s="37">
        <f>ROUND($E$113/$E$114,2)</f>
        <v>63.68</v>
      </c>
      <c r="N115" s="202" t="s">
        <v>11</v>
      </c>
      <c r="O115" s="202"/>
      <c r="P115" s="202"/>
      <c r="Q115" s="202"/>
      <c r="R115" s="202"/>
    </row>
    <row r="116" spans="3:18" x14ac:dyDescent="0.35">
      <c r="C116" s="16" t="s">
        <v>10</v>
      </c>
      <c r="D116" s="4"/>
      <c r="E116" s="32" t="s">
        <v>8</v>
      </c>
      <c r="F116" s="1" t="s">
        <v>41</v>
      </c>
      <c r="N116" s="221" t="s">
        <v>43</v>
      </c>
      <c r="O116" s="221"/>
      <c r="P116" s="221"/>
      <c r="Q116" s="221"/>
      <c r="R116" s="221"/>
    </row>
  </sheetData>
  <mergeCells count="63">
    <mergeCell ref="N107:Q107"/>
    <mergeCell ref="I108:K108"/>
    <mergeCell ref="N114:R114"/>
    <mergeCell ref="N115:R115"/>
    <mergeCell ref="N116:R116"/>
    <mergeCell ref="M82:O82"/>
    <mergeCell ref="P82:R82"/>
    <mergeCell ref="A98:A99"/>
    <mergeCell ref="B98:B99"/>
    <mergeCell ref="C98:C99"/>
    <mergeCell ref="D98:G98"/>
    <mergeCell ref="A82:A84"/>
    <mergeCell ref="B82:B84"/>
    <mergeCell ref="C82:C84"/>
    <mergeCell ref="D82:F82"/>
    <mergeCell ref="G82:I82"/>
    <mergeCell ref="J82:L82"/>
    <mergeCell ref="J67:L67"/>
    <mergeCell ref="M67:O67"/>
    <mergeCell ref="P67:R67"/>
    <mergeCell ref="A52:A54"/>
    <mergeCell ref="B52:B54"/>
    <mergeCell ref="C52:C54"/>
    <mergeCell ref="D52:F52"/>
    <mergeCell ref="G52:I52"/>
    <mergeCell ref="J52:L52"/>
    <mergeCell ref="A67:A69"/>
    <mergeCell ref="B67:B69"/>
    <mergeCell ref="C67:C69"/>
    <mergeCell ref="D67:F67"/>
    <mergeCell ref="G67:I67"/>
    <mergeCell ref="G36:I36"/>
    <mergeCell ref="J36:L36"/>
    <mergeCell ref="M36:O36"/>
    <mergeCell ref="P36:R36"/>
    <mergeCell ref="M52:O52"/>
    <mergeCell ref="P52:R52"/>
    <mergeCell ref="D35:F35"/>
    <mergeCell ref="A36:A38"/>
    <mergeCell ref="B36:B38"/>
    <mergeCell ref="C36:C38"/>
    <mergeCell ref="D36:F36"/>
    <mergeCell ref="D19:R19"/>
    <mergeCell ref="A20:A22"/>
    <mergeCell ref="B20:B22"/>
    <mergeCell ref="C20:C22"/>
    <mergeCell ref="D20:F20"/>
    <mergeCell ref="G20:I20"/>
    <mergeCell ref="J20:L20"/>
    <mergeCell ref="M20:O20"/>
    <mergeCell ref="P20:R20"/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</mergeCells>
  <pageMargins left="0.70866141732283472" right="0.70866141732283472" top="0.31496062992125984" bottom="0.19685039370078741" header="0.31496062992125984" footer="0.19685039370078741"/>
  <pageSetup paperSize="9" scale="79" orientation="landscape" r:id="rId1"/>
  <rowBreaks count="3" manualBreakCount="3">
    <brk id="34" max="16383" man="1"/>
    <brk id="65" max="17" man="1"/>
    <brk id="9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3"/>
  <sheetViews>
    <sheetView view="pageBreakPreview" topLeftCell="C44" zoomScale="90" zoomScaleNormal="90" zoomScaleSheetLayoutView="90" workbookViewId="0">
      <selection activeCell="H99" sqref="H99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101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5</v>
      </c>
      <c r="B8" s="38">
        <v>5546000004</v>
      </c>
      <c r="C8" s="39" t="s">
        <v>102</v>
      </c>
      <c r="D8" s="12">
        <v>55</v>
      </c>
      <c r="E8" s="8">
        <f>(D8*$E$7)/$D$7</f>
        <v>14.666666666666666</v>
      </c>
      <c r="F8" s="3">
        <f t="shared" ref="F8:F15" si="0">IF($D$17=0,50,(50+(10*(STANDARDIZE(D8,$D$16,$D$17)))))*$F$7</f>
        <v>70.206412358973353</v>
      </c>
      <c r="G8" s="58">
        <v>26</v>
      </c>
      <c r="H8" s="8">
        <f>(G8*$H$7)/$G$7</f>
        <v>8.6666666666666661</v>
      </c>
      <c r="I8" s="3">
        <f t="shared" ref="I8:I15" si="1">IF($G$17=0,50,(50+(10*(STANDARDIZE(G8,$G$16,$G$17)))))*$I$7</f>
        <v>39.198765502653565</v>
      </c>
      <c r="J8" s="58">
        <v>37</v>
      </c>
      <c r="K8" s="8">
        <f>(J8*$K$7)/$J$7</f>
        <v>3.7</v>
      </c>
      <c r="L8" s="3">
        <f t="shared" ref="L8:L15" si="2">IF($J$17=0,50,(50+(10*(STANDARDIZE(J8,$J$16,$J$17)))))*$L$7</f>
        <v>18.796327213800872</v>
      </c>
      <c r="M8" s="58">
        <v>72</v>
      </c>
      <c r="N8" s="8">
        <f>(M8*$N$7)/$M$7</f>
        <v>7.2</v>
      </c>
      <c r="O8" s="3">
        <f t="shared" ref="O8:O15" si="3">IF($M$17=0,50,(50+(10*(STANDARDIZE(M8,$M$16,$M$17)))))*$O$7</f>
        <v>41.740245638238953</v>
      </c>
      <c r="P8" s="58">
        <v>36</v>
      </c>
      <c r="Q8" s="8">
        <f>(P8*$Q$7)/$P$7</f>
        <v>7.2</v>
      </c>
      <c r="R8" s="3">
        <f t="shared" ref="R8:R15" si="4">IF($P$17=0,50,(50+(10*(STANDARDIZE(P8,$P$16,$P$17)))))*$R$7</f>
        <v>40.479695345376498</v>
      </c>
    </row>
    <row r="9" spans="1:22" ht="22" x14ac:dyDescent="0.35">
      <c r="A9" s="6">
        <v>15</v>
      </c>
      <c r="B9" s="38">
        <v>5546000014</v>
      </c>
      <c r="C9" s="39" t="s">
        <v>103</v>
      </c>
      <c r="D9" s="12">
        <v>55</v>
      </c>
      <c r="E9" s="8">
        <f t="shared" ref="E9:E15" si="5">(D9*$E$7)/$D$7</f>
        <v>14.666666666666666</v>
      </c>
      <c r="F9" s="3">
        <f t="shared" si="0"/>
        <v>70.206412358973353</v>
      </c>
      <c r="G9" s="58">
        <v>26</v>
      </c>
      <c r="H9" s="8">
        <f t="shared" ref="H9:H15" si="6">(G9*$H$7)/$G$7</f>
        <v>8.6666666666666661</v>
      </c>
      <c r="I9" s="3">
        <f t="shared" si="1"/>
        <v>39.198765502653565</v>
      </c>
      <c r="J9" s="58">
        <v>37</v>
      </c>
      <c r="K9" s="8">
        <f t="shared" ref="K9:K15" si="7">(J9*$K$7)/$J$7</f>
        <v>3.7</v>
      </c>
      <c r="L9" s="3">
        <f t="shared" si="2"/>
        <v>18.796327213800872</v>
      </c>
      <c r="M9" s="12">
        <v>72</v>
      </c>
      <c r="N9" s="8">
        <f t="shared" ref="N9:N15" si="8">(M9*$N$7)/$M$7</f>
        <v>7.2</v>
      </c>
      <c r="O9" s="3">
        <f t="shared" si="3"/>
        <v>41.740245638238953</v>
      </c>
      <c r="P9" s="58">
        <v>36</v>
      </c>
      <c r="Q9" s="8">
        <f t="shared" ref="Q9:Q15" si="9">(P9*$Q$7)/$P$7</f>
        <v>7.2</v>
      </c>
      <c r="R9" s="3">
        <f t="shared" si="4"/>
        <v>40.479695345376498</v>
      </c>
      <c r="V9" s="1" t="s">
        <v>2</v>
      </c>
    </row>
    <row r="10" spans="1:22" ht="22" x14ac:dyDescent="0.35">
      <c r="A10" s="6">
        <v>25</v>
      </c>
      <c r="B10" s="38">
        <v>5546000024</v>
      </c>
      <c r="C10" s="39" t="s">
        <v>104</v>
      </c>
      <c r="D10" s="58">
        <v>61</v>
      </c>
      <c r="E10" s="8">
        <f t="shared" si="5"/>
        <v>16.266666666666666</v>
      </c>
      <c r="F10" s="3">
        <f t="shared" si="0"/>
        <v>100.63390612002185</v>
      </c>
      <c r="G10" s="12">
        <v>27</v>
      </c>
      <c r="H10" s="8">
        <f t="shared" si="6"/>
        <v>9</v>
      </c>
      <c r="I10" s="3">
        <f t="shared" si="1"/>
        <v>50</v>
      </c>
      <c r="J10" s="12">
        <v>40</v>
      </c>
      <c r="K10" s="8">
        <f t="shared" si="7"/>
        <v>4</v>
      </c>
      <c r="L10" s="3">
        <f t="shared" si="2"/>
        <v>22.10495269977374</v>
      </c>
      <c r="M10" s="12">
        <v>73</v>
      </c>
      <c r="N10" s="8">
        <f t="shared" si="8"/>
        <v>7.3</v>
      </c>
      <c r="O10" s="3">
        <f t="shared" si="3"/>
        <v>43.479141293346544</v>
      </c>
      <c r="P10" s="12">
        <v>38</v>
      </c>
      <c r="Q10" s="8">
        <f t="shared" si="9"/>
        <v>7.6</v>
      </c>
      <c r="R10" s="3">
        <f t="shared" si="4"/>
        <v>49.439982079139796</v>
      </c>
    </row>
    <row r="11" spans="1:22" ht="22" x14ac:dyDescent="0.35">
      <c r="A11" s="6">
        <v>35</v>
      </c>
      <c r="B11" s="38">
        <v>5546000034</v>
      </c>
      <c r="C11" s="39" t="s">
        <v>105</v>
      </c>
      <c r="D11" s="12">
        <v>62</v>
      </c>
      <c r="E11" s="8">
        <f t="shared" si="5"/>
        <v>16.533333333333335</v>
      </c>
      <c r="F11" s="3">
        <f t="shared" si="0"/>
        <v>105.70515508019659</v>
      </c>
      <c r="G11" s="12">
        <v>27</v>
      </c>
      <c r="H11" s="8">
        <f t="shared" si="6"/>
        <v>9</v>
      </c>
      <c r="I11" s="3">
        <f t="shared" si="1"/>
        <v>50</v>
      </c>
      <c r="J11" s="12">
        <v>41</v>
      </c>
      <c r="K11" s="8">
        <f t="shared" si="7"/>
        <v>4.0999999999999996</v>
      </c>
      <c r="L11" s="3">
        <f t="shared" si="2"/>
        <v>23.207827861764695</v>
      </c>
      <c r="M11" s="12">
        <v>80</v>
      </c>
      <c r="N11" s="8">
        <f t="shared" si="8"/>
        <v>8</v>
      </c>
      <c r="O11" s="3">
        <f t="shared" si="3"/>
        <v>55.651410879099664</v>
      </c>
      <c r="P11" s="12">
        <v>37</v>
      </c>
      <c r="Q11" s="8">
        <f t="shared" si="9"/>
        <v>7.4</v>
      </c>
      <c r="R11" s="3">
        <f t="shared" si="4"/>
        <v>44.959838712258147</v>
      </c>
      <c r="V11" s="1" t="s">
        <v>2</v>
      </c>
    </row>
    <row r="12" spans="1:22" ht="22" x14ac:dyDescent="0.35">
      <c r="A12" s="6">
        <v>45</v>
      </c>
      <c r="B12" s="38">
        <v>5546000044</v>
      </c>
      <c r="C12" s="39" t="s">
        <v>106</v>
      </c>
      <c r="D12" s="12">
        <v>63</v>
      </c>
      <c r="E12" s="8">
        <f t="shared" si="5"/>
        <v>16.8</v>
      </c>
      <c r="F12" s="3">
        <f t="shared" si="0"/>
        <v>110.77640404037135</v>
      </c>
      <c r="G12" s="12">
        <v>28</v>
      </c>
      <c r="H12" s="8">
        <f t="shared" si="6"/>
        <v>9.3333333333333339</v>
      </c>
      <c r="I12" s="3">
        <f t="shared" si="1"/>
        <v>60.801234497346435</v>
      </c>
      <c r="J12" s="12">
        <v>44</v>
      </c>
      <c r="K12" s="8">
        <f t="shared" si="7"/>
        <v>4.4000000000000004</v>
      </c>
      <c r="L12" s="3">
        <f t="shared" si="2"/>
        <v>26.516453347737563</v>
      </c>
      <c r="M12" s="12">
        <v>75</v>
      </c>
      <c r="N12" s="8">
        <f t="shared" si="8"/>
        <v>7.5</v>
      </c>
      <c r="O12" s="3">
        <f t="shared" si="3"/>
        <v>46.956932603561718</v>
      </c>
      <c r="P12" s="12">
        <v>38</v>
      </c>
      <c r="Q12" s="8">
        <f t="shared" si="9"/>
        <v>7.6</v>
      </c>
      <c r="R12" s="3">
        <f t="shared" si="4"/>
        <v>49.439982079139796</v>
      </c>
    </row>
    <row r="13" spans="1:22" ht="22" x14ac:dyDescent="0.35">
      <c r="A13" s="6">
        <v>55</v>
      </c>
      <c r="B13" s="38">
        <v>5546000054</v>
      </c>
      <c r="C13" s="39" t="s">
        <v>107</v>
      </c>
      <c r="D13" s="58">
        <v>61</v>
      </c>
      <c r="E13" s="8">
        <f t="shared" si="5"/>
        <v>16.266666666666666</v>
      </c>
      <c r="F13" s="3">
        <f t="shared" si="0"/>
        <v>100.63390612002185</v>
      </c>
      <c r="G13" s="12">
        <v>26</v>
      </c>
      <c r="H13" s="8">
        <f t="shared" si="6"/>
        <v>8.6666666666666661</v>
      </c>
      <c r="I13" s="3">
        <f t="shared" si="1"/>
        <v>39.198765502653565</v>
      </c>
      <c r="J13" s="12">
        <v>46</v>
      </c>
      <c r="K13" s="8">
        <f t="shared" si="7"/>
        <v>4.5999999999999996</v>
      </c>
      <c r="L13" s="3">
        <f t="shared" si="2"/>
        <v>28.722203671719477</v>
      </c>
      <c r="M13" s="58">
        <v>72</v>
      </c>
      <c r="N13" s="8">
        <f t="shared" si="8"/>
        <v>7.2</v>
      </c>
      <c r="O13" s="3">
        <f t="shared" si="3"/>
        <v>41.740245638238953</v>
      </c>
      <c r="P13" s="12">
        <v>39</v>
      </c>
      <c r="Q13" s="8">
        <f t="shared" si="9"/>
        <v>7.8</v>
      </c>
      <c r="R13" s="3">
        <f t="shared" si="4"/>
        <v>53.920125446021444</v>
      </c>
    </row>
    <row r="14" spans="1:22" ht="22" x14ac:dyDescent="0.35">
      <c r="A14" s="6">
        <v>65</v>
      </c>
      <c r="B14" s="38">
        <v>5546000064</v>
      </c>
      <c r="C14" s="39" t="s">
        <v>108</v>
      </c>
      <c r="D14" s="12">
        <v>65</v>
      </c>
      <c r="E14" s="8">
        <f t="shared" si="5"/>
        <v>17.333333333333332</v>
      </c>
      <c r="F14" s="3">
        <f t="shared" si="0"/>
        <v>120.91890196072085</v>
      </c>
      <c r="G14" s="12">
        <v>28</v>
      </c>
      <c r="H14" s="8">
        <f t="shared" si="6"/>
        <v>9.3333333333333339</v>
      </c>
      <c r="I14" s="3">
        <f t="shared" si="1"/>
        <v>60.801234497346435</v>
      </c>
      <c r="J14" s="12">
        <v>48</v>
      </c>
      <c r="K14" s="8">
        <f t="shared" si="7"/>
        <v>4.8</v>
      </c>
      <c r="L14" s="3">
        <f t="shared" si="2"/>
        <v>30.927953995701387</v>
      </c>
      <c r="M14" s="12">
        <v>85</v>
      </c>
      <c r="N14" s="8">
        <f t="shared" si="8"/>
        <v>8.5</v>
      </c>
      <c r="O14" s="3">
        <f t="shared" si="3"/>
        <v>64.345889154637618</v>
      </c>
      <c r="P14" s="12">
        <v>38</v>
      </c>
      <c r="Q14" s="8">
        <f t="shared" si="9"/>
        <v>7.6</v>
      </c>
      <c r="R14" s="3">
        <f t="shared" si="4"/>
        <v>49.439982079139796</v>
      </c>
    </row>
    <row r="15" spans="1:22" ht="22" x14ac:dyDescent="0.35">
      <c r="A15" s="6">
        <v>75</v>
      </c>
      <c r="B15" s="38">
        <v>5546000074</v>
      </c>
      <c r="C15" s="39" t="s">
        <v>109</v>
      </c>
      <c r="D15" s="12">
        <v>65</v>
      </c>
      <c r="E15" s="8">
        <f t="shared" si="5"/>
        <v>17.333333333333332</v>
      </c>
      <c r="F15" s="3">
        <f t="shared" si="0"/>
        <v>120.91890196072085</v>
      </c>
      <c r="G15" s="12">
        <v>28</v>
      </c>
      <c r="H15" s="8">
        <f t="shared" si="6"/>
        <v>9.3333333333333339</v>
      </c>
      <c r="I15" s="3">
        <f t="shared" si="1"/>
        <v>60.801234497346435</v>
      </c>
      <c r="J15" s="12">
        <v>48</v>
      </c>
      <c r="K15" s="8">
        <f t="shared" si="7"/>
        <v>4.8</v>
      </c>
      <c r="L15" s="3">
        <f t="shared" si="2"/>
        <v>30.927953995701387</v>
      </c>
      <c r="M15" s="12">
        <v>85</v>
      </c>
      <c r="N15" s="8">
        <f t="shared" si="8"/>
        <v>8.5</v>
      </c>
      <c r="O15" s="3">
        <f t="shared" si="3"/>
        <v>64.345889154637618</v>
      </c>
      <c r="P15" s="12">
        <v>43</v>
      </c>
      <c r="Q15" s="8">
        <f t="shared" si="9"/>
        <v>8.6</v>
      </c>
      <c r="R15" s="3">
        <f t="shared" si="4"/>
        <v>71.840698913548025</v>
      </c>
    </row>
    <row r="16" spans="1:22" ht="18" customHeight="1" x14ac:dyDescent="0.35">
      <c r="C16" s="42" t="s">
        <v>13</v>
      </c>
      <c r="D16" s="9">
        <f>AVERAGE($D$8:$D$15)</f>
        <v>60.875</v>
      </c>
      <c r="E16" s="2"/>
      <c r="F16" s="2"/>
      <c r="G16" s="9">
        <f>AVERAGE($G$8:$G$15)</f>
        <v>27</v>
      </c>
      <c r="J16" s="9">
        <f>AVERAGE($J$8:$J$15)</f>
        <v>42.625</v>
      </c>
      <c r="M16" s="9">
        <f>AVERAGE($M$8:$M$15)</f>
        <v>76.75</v>
      </c>
      <c r="P16" s="9">
        <f>AVERAGE($P$8:$P$15)</f>
        <v>38.125</v>
      </c>
    </row>
    <row r="17" spans="1:19" ht="18" customHeight="1" x14ac:dyDescent="0.35">
      <c r="C17" s="42" t="s">
        <v>14</v>
      </c>
      <c r="D17" s="9">
        <f>STDEV($D$8:$D$15)</f>
        <v>3.9438016467073278</v>
      </c>
      <c r="E17" s="2"/>
      <c r="F17" s="2"/>
      <c r="G17" s="9">
        <f>STDEV($G$8:$G$15)</f>
        <v>0.92582009977255142</v>
      </c>
      <c r="J17" s="9">
        <f>STDEV($J$8:$J$15)</f>
        <v>4.5336046837556783</v>
      </c>
      <c r="M17" s="9">
        <f>STDEV(M8:M15)</f>
        <v>5.7507763451058125</v>
      </c>
      <c r="P17" s="9">
        <f>STDEV(P8:P15)</f>
        <v>2.2320714274285347</v>
      </c>
    </row>
    <row r="18" spans="1:19" ht="18" customHeight="1" x14ac:dyDescent="0.35">
      <c r="C18" s="42"/>
      <c r="D18" s="206" t="s">
        <v>89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5</v>
      </c>
      <c r="B22" s="38">
        <v>5546000004</v>
      </c>
      <c r="C22" s="39" t="s">
        <v>102</v>
      </c>
      <c r="D22" s="12">
        <v>41</v>
      </c>
      <c r="E22" s="8">
        <f>(D22*$E$21)/$D$21</f>
        <v>4.0999999999999996</v>
      </c>
      <c r="F22" s="3">
        <f t="shared" ref="F22:F29" si="10">IF($D$31=0,50,(50+(10*(STANDARDIZE(D22,$D$30,$D$31)))))*$F$21</f>
        <v>24.53915442849399</v>
      </c>
      <c r="G22" s="12">
        <v>34</v>
      </c>
      <c r="H22" s="8">
        <f>(G22*$H$21)/$G$21</f>
        <v>4.25</v>
      </c>
      <c r="I22" s="3">
        <f t="shared" ref="I22:I29" si="11">IF($G$31=0,50,(50+(10*(STANDARDIZE(G22,$G$30,$G$31)))))*$I$21</f>
        <v>25</v>
      </c>
      <c r="J22" s="58">
        <v>43</v>
      </c>
      <c r="K22" s="8">
        <f>(J22*$K$21)/$J$21</f>
        <v>4.3</v>
      </c>
      <c r="L22" s="3">
        <f t="shared" ref="L22:L29" si="12">IF($J$31=0,50,(50+(10*(STANDARDIZE(J22,$J$30,$J$31)))))*$L$21</f>
        <v>20.322928266532571</v>
      </c>
      <c r="M22" s="12">
        <v>32</v>
      </c>
      <c r="N22" s="8">
        <f>(M22*$N$21)/$M$21</f>
        <v>4</v>
      </c>
      <c r="O22" s="3">
        <f t="shared" ref="O22:O29" si="13">IF($M$31=0,50,(50+(10*(STANDARDIZE(M22,$M$30,$M$31)))))*$O$21</f>
        <v>25</v>
      </c>
      <c r="P22" s="58">
        <v>53</v>
      </c>
      <c r="Q22" s="8">
        <f>(P22*$Q$21)/$P$21</f>
        <v>7.5714285714285712</v>
      </c>
      <c r="R22" s="3">
        <f t="shared" ref="R22:R29" si="14">IF($P$31=0,50,(50+(10*(STANDARDIZE(P22,$P$30,$P$31)))))*$R$21</f>
        <v>45.906673828176388</v>
      </c>
    </row>
    <row r="23" spans="1:19" ht="22" x14ac:dyDescent="0.35">
      <c r="A23" s="6">
        <v>15</v>
      </c>
      <c r="B23" s="38">
        <v>5546000014</v>
      </c>
      <c r="C23" s="39" t="s">
        <v>103</v>
      </c>
      <c r="D23" s="12">
        <v>41</v>
      </c>
      <c r="E23" s="8">
        <f t="shared" ref="E23:E29" si="15">(D23*$E$21)/$D$21</f>
        <v>4.0999999999999996</v>
      </c>
      <c r="F23" s="3">
        <f t="shared" si="10"/>
        <v>24.53915442849399</v>
      </c>
      <c r="G23" s="12">
        <v>34</v>
      </c>
      <c r="H23" s="8">
        <f t="shared" ref="H23:H29" si="16">(G23*$H$21)/$G$21</f>
        <v>4.25</v>
      </c>
      <c r="I23" s="3">
        <f t="shared" si="11"/>
        <v>25</v>
      </c>
      <c r="J23" s="58">
        <v>43</v>
      </c>
      <c r="K23" s="8">
        <f t="shared" ref="K23:K29" si="17">(J23*$K$21)/$J$21</f>
        <v>4.3</v>
      </c>
      <c r="L23" s="3">
        <f t="shared" si="12"/>
        <v>20.322928266532571</v>
      </c>
      <c r="M23" s="12">
        <v>32</v>
      </c>
      <c r="N23" s="8">
        <f t="shared" ref="N23:N29" si="18">(M23*$N$21)/$M$21</f>
        <v>4</v>
      </c>
      <c r="O23" s="3">
        <f t="shared" si="13"/>
        <v>25</v>
      </c>
      <c r="P23" s="58">
        <v>50</v>
      </c>
      <c r="Q23" s="8">
        <f t="shared" ref="Q23:Q29" si="19">(P23*$Q$21)/$P$21</f>
        <v>7.1428571428571432</v>
      </c>
      <c r="R23" s="3">
        <f t="shared" si="14"/>
        <v>37.720021484529155</v>
      </c>
    </row>
    <row r="24" spans="1:19" ht="22" x14ac:dyDescent="0.35">
      <c r="A24" s="6">
        <v>25</v>
      </c>
      <c r="B24" s="38">
        <v>5546000024</v>
      </c>
      <c r="C24" s="39" t="s">
        <v>104</v>
      </c>
      <c r="D24" s="12">
        <v>38</v>
      </c>
      <c r="E24" s="8">
        <f t="shared" si="15"/>
        <v>3.8</v>
      </c>
      <c r="F24" s="3">
        <f t="shared" si="10"/>
        <v>13.478860712349803</v>
      </c>
      <c r="G24" s="12">
        <v>34</v>
      </c>
      <c r="H24" s="8">
        <f t="shared" si="16"/>
        <v>4.25</v>
      </c>
      <c r="I24" s="3">
        <f t="shared" si="11"/>
        <v>25</v>
      </c>
      <c r="J24" s="12">
        <v>44</v>
      </c>
      <c r="K24" s="8">
        <f t="shared" si="17"/>
        <v>4.4000000000000004</v>
      </c>
      <c r="L24" s="3">
        <f t="shared" si="12"/>
        <v>29.677071733467429</v>
      </c>
      <c r="M24" s="12">
        <v>32</v>
      </c>
      <c r="N24" s="8">
        <f t="shared" si="18"/>
        <v>4</v>
      </c>
      <c r="O24" s="3">
        <f t="shared" si="13"/>
        <v>25</v>
      </c>
      <c r="P24" s="58">
        <v>54</v>
      </c>
      <c r="Q24" s="8">
        <f t="shared" si="19"/>
        <v>7.7142857142857144</v>
      </c>
      <c r="R24" s="3">
        <f t="shared" si="14"/>
        <v>48.635557942725463</v>
      </c>
    </row>
    <row r="25" spans="1:19" ht="22" x14ac:dyDescent="0.35">
      <c r="A25" s="6">
        <v>35</v>
      </c>
      <c r="B25" s="38">
        <v>5546000034</v>
      </c>
      <c r="C25" s="39" t="s">
        <v>105</v>
      </c>
      <c r="D25" s="12">
        <v>42</v>
      </c>
      <c r="E25" s="8">
        <f t="shared" si="15"/>
        <v>4.2</v>
      </c>
      <c r="F25" s="3">
        <f t="shared" si="10"/>
        <v>28.225919000542056</v>
      </c>
      <c r="G25" s="12">
        <v>34</v>
      </c>
      <c r="H25" s="8">
        <f t="shared" si="16"/>
        <v>4.25</v>
      </c>
      <c r="I25" s="3">
        <f t="shared" si="11"/>
        <v>25</v>
      </c>
      <c r="J25" s="12">
        <v>43</v>
      </c>
      <c r="K25" s="8">
        <f t="shared" si="17"/>
        <v>4.3</v>
      </c>
      <c r="L25" s="3">
        <f t="shared" si="12"/>
        <v>20.322928266532571</v>
      </c>
      <c r="M25" s="12">
        <v>32</v>
      </c>
      <c r="N25" s="8">
        <f t="shared" si="18"/>
        <v>4</v>
      </c>
      <c r="O25" s="3">
        <f t="shared" si="13"/>
        <v>25</v>
      </c>
      <c r="P25" s="58">
        <v>50</v>
      </c>
      <c r="Q25" s="8">
        <f t="shared" si="19"/>
        <v>7.1428571428571432</v>
      </c>
      <c r="R25" s="3">
        <f t="shared" si="14"/>
        <v>37.720021484529155</v>
      </c>
    </row>
    <row r="26" spans="1:19" ht="22" x14ac:dyDescent="0.35">
      <c r="A26" s="6">
        <v>45</v>
      </c>
      <c r="B26" s="38">
        <v>5546000044</v>
      </c>
      <c r="C26" s="39" t="s">
        <v>106</v>
      </c>
      <c r="D26" s="12">
        <v>42</v>
      </c>
      <c r="E26" s="8">
        <f t="shared" si="15"/>
        <v>4.2</v>
      </c>
      <c r="F26" s="3">
        <f t="shared" si="10"/>
        <v>28.225919000542056</v>
      </c>
      <c r="G26" s="12">
        <v>34</v>
      </c>
      <c r="H26" s="8">
        <f t="shared" si="16"/>
        <v>4.25</v>
      </c>
      <c r="I26" s="3">
        <f t="shared" si="11"/>
        <v>25</v>
      </c>
      <c r="J26" s="12">
        <v>44</v>
      </c>
      <c r="K26" s="8">
        <f t="shared" si="17"/>
        <v>4.4000000000000004</v>
      </c>
      <c r="L26" s="3">
        <f t="shared" si="12"/>
        <v>29.677071733467429</v>
      </c>
      <c r="M26" s="12">
        <v>32</v>
      </c>
      <c r="N26" s="8">
        <f t="shared" si="18"/>
        <v>4</v>
      </c>
      <c r="O26" s="3">
        <f t="shared" si="13"/>
        <v>25</v>
      </c>
      <c r="P26" s="58">
        <v>57</v>
      </c>
      <c r="Q26" s="8">
        <f t="shared" si="19"/>
        <v>8.1428571428571423</v>
      </c>
      <c r="R26" s="3">
        <f t="shared" si="14"/>
        <v>56.822210286372695</v>
      </c>
    </row>
    <row r="27" spans="1:19" ht="22" x14ac:dyDescent="0.35">
      <c r="A27" s="6">
        <v>55</v>
      </c>
      <c r="B27" s="38">
        <v>5546000054</v>
      </c>
      <c r="C27" s="39" t="s">
        <v>107</v>
      </c>
      <c r="D27" s="12">
        <v>42</v>
      </c>
      <c r="E27" s="8">
        <f t="shared" si="15"/>
        <v>4.2</v>
      </c>
      <c r="F27" s="3">
        <f t="shared" si="10"/>
        <v>28.225919000542056</v>
      </c>
      <c r="G27" s="12">
        <v>34</v>
      </c>
      <c r="H27" s="8">
        <f t="shared" si="16"/>
        <v>4.25</v>
      </c>
      <c r="I27" s="3">
        <f t="shared" si="11"/>
        <v>25</v>
      </c>
      <c r="J27" s="12">
        <v>43</v>
      </c>
      <c r="K27" s="8">
        <f t="shared" si="17"/>
        <v>4.3</v>
      </c>
      <c r="L27" s="3">
        <f t="shared" si="12"/>
        <v>20.322928266532571</v>
      </c>
      <c r="M27" s="12">
        <v>32</v>
      </c>
      <c r="N27" s="8">
        <f t="shared" si="18"/>
        <v>4</v>
      </c>
      <c r="O27" s="3">
        <f t="shared" si="13"/>
        <v>25</v>
      </c>
      <c r="P27" s="58">
        <v>56</v>
      </c>
      <c r="Q27" s="8">
        <f t="shared" si="19"/>
        <v>8</v>
      </c>
      <c r="R27" s="3">
        <f t="shared" si="14"/>
        <v>54.093326171823612</v>
      </c>
    </row>
    <row r="28" spans="1:19" ht="22" x14ac:dyDescent="0.35">
      <c r="A28" s="6">
        <v>65</v>
      </c>
      <c r="B28" s="38">
        <v>5546000064</v>
      </c>
      <c r="C28" s="39" t="s">
        <v>108</v>
      </c>
      <c r="D28" s="12">
        <v>42</v>
      </c>
      <c r="E28" s="8">
        <f t="shared" si="15"/>
        <v>4.2</v>
      </c>
      <c r="F28" s="3">
        <f t="shared" si="10"/>
        <v>28.225919000542056</v>
      </c>
      <c r="G28" s="12">
        <v>34</v>
      </c>
      <c r="H28" s="8">
        <f t="shared" si="16"/>
        <v>4.25</v>
      </c>
      <c r="I28" s="3">
        <f t="shared" si="11"/>
        <v>25</v>
      </c>
      <c r="J28" s="12">
        <v>44</v>
      </c>
      <c r="K28" s="8">
        <f t="shared" si="17"/>
        <v>4.4000000000000004</v>
      </c>
      <c r="L28" s="3">
        <f t="shared" si="12"/>
        <v>29.677071733467429</v>
      </c>
      <c r="M28" s="12">
        <v>32</v>
      </c>
      <c r="N28" s="8">
        <f t="shared" si="18"/>
        <v>4</v>
      </c>
      <c r="O28" s="3">
        <f t="shared" si="13"/>
        <v>25</v>
      </c>
      <c r="P28" s="58">
        <v>61</v>
      </c>
      <c r="Q28" s="8">
        <f t="shared" si="19"/>
        <v>8.7142857142857135</v>
      </c>
      <c r="R28" s="3">
        <f t="shared" si="14"/>
        <v>67.737746744568994</v>
      </c>
    </row>
    <row r="29" spans="1:19" ht="22" x14ac:dyDescent="0.35">
      <c r="A29" s="6">
        <v>75</v>
      </c>
      <c r="B29" s="38">
        <v>5546000074</v>
      </c>
      <c r="C29" s="39" t="s">
        <v>109</v>
      </c>
      <c r="D29" s="12">
        <v>41</v>
      </c>
      <c r="E29" s="8">
        <f t="shared" si="15"/>
        <v>4.0999999999999996</v>
      </c>
      <c r="F29" s="3">
        <f t="shared" si="10"/>
        <v>24.53915442849399</v>
      </c>
      <c r="G29" s="12">
        <v>34</v>
      </c>
      <c r="H29" s="8">
        <f t="shared" si="16"/>
        <v>4.25</v>
      </c>
      <c r="I29" s="3">
        <f t="shared" si="11"/>
        <v>25</v>
      </c>
      <c r="J29" s="12">
        <v>44</v>
      </c>
      <c r="K29" s="8">
        <f t="shared" si="17"/>
        <v>4.4000000000000004</v>
      </c>
      <c r="L29" s="3">
        <f t="shared" si="12"/>
        <v>29.677071733467429</v>
      </c>
      <c r="M29" s="12">
        <v>32</v>
      </c>
      <c r="N29" s="8">
        <f t="shared" si="18"/>
        <v>4</v>
      </c>
      <c r="O29" s="3">
        <f t="shared" si="13"/>
        <v>25</v>
      </c>
      <c r="P29" s="58">
        <v>55</v>
      </c>
      <c r="Q29" s="8">
        <f t="shared" si="19"/>
        <v>7.8571428571428568</v>
      </c>
      <c r="R29" s="3">
        <f t="shared" si="14"/>
        <v>51.364442057274537</v>
      </c>
    </row>
    <row r="30" spans="1:19" x14ac:dyDescent="0.35">
      <c r="C30" s="42" t="s">
        <v>13</v>
      </c>
      <c r="D30" s="9">
        <f>AVERAGE($D$22:$D$29)</f>
        <v>41.125</v>
      </c>
      <c r="G30" s="9">
        <f>AVERAGE($G$22:$G$29)</f>
        <v>34</v>
      </c>
      <c r="J30" s="9">
        <f>AVERAGE($J$22:$J$29)</f>
        <v>43.5</v>
      </c>
      <c r="M30" s="9">
        <f>AVERAGE($M$22:$M$29)</f>
        <v>32</v>
      </c>
      <c r="P30" s="9">
        <f>AVERAGE($P$22:$P$29)</f>
        <v>54.5</v>
      </c>
    </row>
    <row r="31" spans="1:19" x14ac:dyDescent="0.35">
      <c r="C31" s="42" t="s">
        <v>14</v>
      </c>
      <c r="D31" s="9">
        <f>STDEV($D$22:$D$29)</f>
        <v>1.3562026818605375</v>
      </c>
      <c r="F31" s="5"/>
      <c r="G31" s="9">
        <f>STDEV($G$22:$G$29)</f>
        <v>0</v>
      </c>
      <c r="J31" s="9">
        <f>STDEV($J$22:$J$29)</f>
        <v>0.53452248382484879</v>
      </c>
      <c r="L31" s="5"/>
      <c r="M31" s="9">
        <f>STDEV($M$22:$M$29)</f>
        <v>0</v>
      </c>
      <c r="P31" s="9">
        <f>STDEV($P$22:$P$29)</f>
        <v>3.6645015252516173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99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5</v>
      </c>
      <c r="B37" s="38">
        <v>5546000004</v>
      </c>
      <c r="C37" s="39" t="s">
        <v>102</v>
      </c>
      <c r="D37" s="58">
        <v>23</v>
      </c>
      <c r="E37" s="8">
        <f>(D37*$E$36)/$D$36</f>
        <v>3.8333333333333335</v>
      </c>
      <c r="F37" s="3">
        <f t="shared" ref="F37:F44" si="20">IF($D$46=0,50,(50+(10*(STANDARDIZE(D37,$D$45,$D$46)))))*$F$36</f>
        <v>20.178093098832992</v>
      </c>
      <c r="G37" s="12">
        <v>36</v>
      </c>
      <c r="H37" s="8">
        <f>(G37*$H$36)/$G$36</f>
        <v>3.6</v>
      </c>
      <c r="I37" s="3">
        <f t="shared" ref="I37:I44" si="21">IF($G$46=0,50,(50+(10*(STANDARDIZE(G37,$G$45,$G$46)))))*$I$36</f>
        <v>18.69650325023499</v>
      </c>
      <c r="J37" s="12">
        <v>44</v>
      </c>
      <c r="K37" s="8">
        <f>(J37*$K$36)/$J$36</f>
        <v>3.6666666666666665</v>
      </c>
      <c r="L37" s="3">
        <f t="shared" ref="L37:L44" si="22">IF($J$46=0,50,(50+(10*(STANDARDIZE(J37,$J$45,$J$46)))))*$L$36</f>
        <v>26.996997476526033</v>
      </c>
      <c r="M37" s="9"/>
      <c r="N37" s="19"/>
      <c r="O37" s="9"/>
      <c r="P37" s="2"/>
      <c r="Q37" s="19"/>
      <c r="R37" s="9"/>
    </row>
    <row r="38" spans="1:22" ht="22" x14ac:dyDescent="0.35">
      <c r="A38" s="6">
        <v>15</v>
      </c>
      <c r="B38" s="38">
        <v>5546000014</v>
      </c>
      <c r="C38" s="39" t="s">
        <v>103</v>
      </c>
      <c r="D38" s="58">
        <v>23</v>
      </c>
      <c r="E38" s="8">
        <f t="shared" ref="E38:E44" si="23">(D38*$E$36)/$D$36</f>
        <v>3.8333333333333335</v>
      </c>
      <c r="F38" s="3">
        <f t="shared" si="20"/>
        <v>20.178093098832992</v>
      </c>
      <c r="G38" s="12">
        <v>39</v>
      </c>
      <c r="H38" s="8">
        <f t="shared" ref="H38:H44" si="24">(G38*$H$36)/$G$36</f>
        <v>3.9</v>
      </c>
      <c r="I38" s="3">
        <f t="shared" si="21"/>
        <v>23.913190215557755</v>
      </c>
      <c r="J38" s="12">
        <v>50</v>
      </c>
      <c r="K38" s="8">
        <f t="shared" ref="K38:K44" si="25">(J38*$K$36)/$J$36</f>
        <v>4.166666666666667</v>
      </c>
      <c r="L38" s="3">
        <f t="shared" si="22"/>
        <v>34.370526620622158</v>
      </c>
      <c r="M38" s="9"/>
      <c r="N38" s="19"/>
      <c r="O38" s="9"/>
      <c r="P38" s="2"/>
      <c r="Q38" s="19"/>
      <c r="R38" s="9"/>
    </row>
    <row r="39" spans="1:22" ht="22" x14ac:dyDescent="0.35">
      <c r="A39" s="6">
        <v>25</v>
      </c>
      <c r="B39" s="38">
        <v>5546000024</v>
      </c>
      <c r="C39" s="39" t="s">
        <v>104</v>
      </c>
      <c r="D39" s="58">
        <v>25</v>
      </c>
      <c r="E39" s="8">
        <f t="shared" si="23"/>
        <v>4.166666666666667</v>
      </c>
      <c r="F39" s="3">
        <f t="shared" si="20"/>
        <v>26.112747746423157</v>
      </c>
      <c r="G39" s="12">
        <v>40</v>
      </c>
      <c r="H39" s="8">
        <f t="shared" si="24"/>
        <v>4</v>
      </c>
      <c r="I39" s="3">
        <f t="shared" si="21"/>
        <v>25.652085870665346</v>
      </c>
      <c r="J39" s="12">
        <v>40</v>
      </c>
      <c r="K39" s="8">
        <f t="shared" si="25"/>
        <v>3.3333333333333335</v>
      </c>
      <c r="L39" s="3">
        <f t="shared" si="22"/>
        <v>22.081311380461951</v>
      </c>
      <c r="M39" s="9"/>
      <c r="N39" s="19"/>
      <c r="O39" s="9"/>
      <c r="P39" s="2"/>
      <c r="Q39" s="19"/>
      <c r="R39" s="9"/>
    </row>
    <row r="40" spans="1:22" ht="22" x14ac:dyDescent="0.35">
      <c r="A40" s="6">
        <v>35</v>
      </c>
      <c r="B40" s="38">
        <v>5546000034</v>
      </c>
      <c r="C40" s="39" t="s">
        <v>105</v>
      </c>
      <c r="D40" s="58">
        <v>23</v>
      </c>
      <c r="E40" s="8">
        <f t="shared" si="23"/>
        <v>3.8333333333333335</v>
      </c>
      <c r="F40" s="3">
        <f t="shared" si="20"/>
        <v>20.178093098832992</v>
      </c>
      <c r="G40" s="12">
        <v>40</v>
      </c>
      <c r="H40" s="8">
        <f t="shared" si="24"/>
        <v>4</v>
      </c>
      <c r="I40" s="3">
        <f t="shared" si="21"/>
        <v>25.652085870665346</v>
      </c>
      <c r="J40" s="12">
        <v>43</v>
      </c>
      <c r="K40" s="8">
        <f t="shared" si="25"/>
        <v>3.5833333333333335</v>
      </c>
      <c r="L40" s="3">
        <f t="shared" si="22"/>
        <v>25.768075952510014</v>
      </c>
      <c r="M40" s="9"/>
      <c r="N40" s="19"/>
      <c r="O40" s="9"/>
      <c r="P40" s="2"/>
      <c r="Q40" s="19"/>
      <c r="R40" s="9"/>
    </row>
    <row r="41" spans="1:22" ht="22" x14ac:dyDescent="0.35">
      <c r="A41" s="6">
        <v>45</v>
      </c>
      <c r="B41" s="38">
        <v>5546000044</v>
      </c>
      <c r="C41" s="39" t="s">
        <v>106</v>
      </c>
      <c r="D41" s="58">
        <v>24</v>
      </c>
      <c r="E41" s="8">
        <f t="shared" si="23"/>
        <v>4</v>
      </c>
      <c r="F41" s="3">
        <f t="shared" si="20"/>
        <v>23.145420422628074</v>
      </c>
      <c r="G41" s="12">
        <v>41</v>
      </c>
      <c r="H41" s="8">
        <f t="shared" si="24"/>
        <v>4.0999999999999996</v>
      </c>
      <c r="I41" s="3">
        <f t="shared" si="21"/>
        <v>27.390981525772936</v>
      </c>
      <c r="J41" s="12">
        <v>42</v>
      </c>
      <c r="K41" s="8">
        <f t="shared" si="25"/>
        <v>3.5</v>
      </c>
      <c r="L41" s="3">
        <f t="shared" si="22"/>
        <v>24.53915442849399</v>
      </c>
      <c r="M41" s="9"/>
      <c r="N41" s="19"/>
      <c r="O41" s="9"/>
      <c r="P41" s="2"/>
      <c r="Q41" s="19"/>
      <c r="R41" s="9"/>
    </row>
    <row r="42" spans="1:22" ht="22" x14ac:dyDescent="0.35">
      <c r="A42" s="6">
        <v>55</v>
      </c>
      <c r="B42" s="38">
        <v>5546000054</v>
      </c>
      <c r="C42" s="39" t="s">
        <v>107</v>
      </c>
      <c r="D42" s="58">
        <v>27</v>
      </c>
      <c r="E42" s="8">
        <f t="shared" si="23"/>
        <v>4.5</v>
      </c>
      <c r="F42" s="3">
        <f t="shared" si="20"/>
        <v>32.047402394013318</v>
      </c>
      <c r="G42" s="12">
        <v>36</v>
      </c>
      <c r="H42" s="8">
        <f t="shared" si="24"/>
        <v>3.6</v>
      </c>
      <c r="I42" s="3">
        <f t="shared" si="21"/>
        <v>18.69650325023499</v>
      </c>
      <c r="J42" s="12">
        <v>44</v>
      </c>
      <c r="K42" s="8">
        <f t="shared" si="25"/>
        <v>3.6666666666666665</v>
      </c>
      <c r="L42" s="3">
        <f t="shared" si="22"/>
        <v>26.996997476526033</v>
      </c>
      <c r="M42" s="9"/>
      <c r="N42" s="19"/>
      <c r="O42" s="9"/>
      <c r="P42" s="2"/>
      <c r="Q42" s="19"/>
      <c r="R42" s="9"/>
    </row>
    <row r="43" spans="1:22" ht="22" x14ac:dyDescent="0.35">
      <c r="A43" s="6">
        <v>65</v>
      </c>
      <c r="B43" s="38">
        <v>5546000064</v>
      </c>
      <c r="C43" s="39" t="s">
        <v>108</v>
      </c>
      <c r="D43" s="58">
        <v>25</v>
      </c>
      <c r="E43" s="8">
        <f t="shared" si="23"/>
        <v>4.166666666666667</v>
      </c>
      <c r="F43" s="3">
        <f t="shared" si="20"/>
        <v>26.112747746423157</v>
      </c>
      <c r="G43" s="12">
        <v>45</v>
      </c>
      <c r="H43" s="8">
        <f t="shared" si="24"/>
        <v>4.5</v>
      </c>
      <c r="I43" s="3">
        <f t="shared" si="21"/>
        <v>34.346564146203292</v>
      </c>
      <c r="J43" s="12">
        <v>36</v>
      </c>
      <c r="K43" s="8">
        <f t="shared" si="25"/>
        <v>3</v>
      </c>
      <c r="L43" s="3">
        <f t="shared" si="22"/>
        <v>17.165625284397866</v>
      </c>
      <c r="M43" s="9"/>
      <c r="N43" s="19"/>
      <c r="O43" s="9"/>
      <c r="P43" s="2"/>
      <c r="Q43" s="19"/>
      <c r="R43" s="9"/>
    </row>
    <row r="44" spans="1:22" ht="22" x14ac:dyDescent="0.35">
      <c r="A44" s="6">
        <v>75</v>
      </c>
      <c r="B44" s="38">
        <v>5546000074</v>
      </c>
      <c r="C44" s="39" t="s">
        <v>109</v>
      </c>
      <c r="D44" s="58">
        <v>27</v>
      </c>
      <c r="E44" s="8">
        <f t="shared" si="23"/>
        <v>4.5</v>
      </c>
      <c r="F44" s="3">
        <f t="shared" si="20"/>
        <v>32.047402394013318</v>
      </c>
      <c r="G44" s="12">
        <v>40</v>
      </c>
      <c r="H44" s="8">
        <f t="shared" si="24"/>
        <v>4</v>
      </c>
      <c r="I44" s="3">
        <f t="shared" si="21"/>
        <v>25.652085870665346</v>
      </c>
      <c r="J44" s="12">
        <v>40</v>
      </c>
      <c r="K44" s="8">
        <f t="shared" si="25"/>
        <v>3.3333333333333335</v>
      </c>
      <c r="L44" s="3">
        <f t="shared" si="22"/>
        <v>22.081311380461951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24.625</v>
      </c>
      <c r="G45" s="9">
        <f>AVERAGE($G$37:$G$44)</f>
        <v>39.625</v>
      </c>
      <c r="J45" s="9">
        <f>AVERAGE($J$37:$J$44)</f>
        <v>42.375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1.685018016012207</v>
      </c>
      <c r="F46" s="5"/>
      <c r="G46" s="9">
        <f>STDEV($G$37:$G$44)</f>
        <v>2.8753881725529062</v>
      </c>
      <c r="J46" s="9">
        <f>STDEV($J$37:$J$44)</f>
        <v>4.0686080455816125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53">
        <v>5</v>
      </c>
      <c r="B97" s="54">
        <v>5546000004</v>
      </c>
      <c r="C97" s="55" t="s">
        <v>102</v>
      </c>
      <c r="D97" s="56">
        <f t="shared" ref="D97:E103" si="27">ROUND(SUM(E8,H8,K8,N8,Q8,E22,H22,K22,N22,Q22,E37,H37,K37,N37,Q37,E52,H52,K52,N52,Q52,E67,H67,K67,N67,Q67,E82,H82,K82,N82,Q82),2)</f>
        <v>76.75</v>
      </c>
      <c r="E97" s="56">
        <f t="shared" si="27"/>
        <v>417.06</v>
      </c>
      <c r="F97" s="57" t="str">
        <f>IF($I$100="-","-",IF(E97&gt;=$I$97,$K$97,IF(E97&gt;=$I$98,$K$98,IF(E97&gt;=$I$99,$K$99,IF(E97&gt;=$I$100,$K$100,IF(E97&gt;=$I$101,$K$101,IF(E97&gt;=$I$102,$K$102,IF(E97&gt;=$I$103,$K$103,IF(E97&gt;=$I$104,$K$104)))))))))</f>
        <v>-</v>
      </c>
      <c r="G97" s="57" t="str">
        <f>IF($O$100="-","-",IF(E97&gt;=$N$97,$Q$97,IF(E97&gt;=$N$98,$Q$98,IF(E97&gt;=$N$99,$Q$99,IF(E97&gt;=$N$100,$Q$100,IF(E97&gt;=$N$101,$Q$101,IF(E97&gt;=$N$102,$Q$102,IF(E97&lt;=$P$103,$Q$103))))))))</f>
        <v>B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 t="str">
        <f t="shared" ref="L97:L103" si="28">IF(F97="-","-",COUNTIF($F$97:$F$104,K97))</f>
        <v>-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>
        <f t="shared" ref="R97:R103" si="29">IF(G97="-","-",COUNTIF($G$97:$G$104,Q97))</f>
        <v>0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6">
        <v>15</v>
      </c>
      <c r="B98" s="38">
        <v>5546000014</v>
      </c>
      <c r="C98" s="39" t="s">
        <v>103</v>
      </c>
      <c r="D98" s="8">
        <f t="shared" si="27"/>
        <v>77.13</v>
      </c>
      <c r="E98" s="8">
        <f t="shared" si="27"/>
        <v>421.47</v>
      </c>
      <c r="F98" s="7" t="str">
        <f t="shared" ref="F98:F104" si="30">IF($I$100="-","-",IF(E98&gt;=$I$97,$K$97,IF(E98&gt;=$I$98,$K$98,IF(E98&gt;=$I$99,$K$99,IF(E98&gt;=$I$100,$K$100,IF(E98&gt;=$I$101,$K$101,IF(E98&gt;=$I$102,$K$102,IF(E98&gt;=$I$103,$K$103,IF(E98&gt;=$I$104,$K$104)))))))))</f>
        <v>-</v>
      </c>
      <c r="G98" s="7" t="str">
        <f t="shared" ref="G98:G104" si="31">IF($O$100="-","-",IF(E98&gt;=$N$97,$Q$97,IF(E98&gt;=$N$98,$Q$98,IF(E98&gt;=$N$99,$Q$99,IF(E98&gt;=$N$100,$Q$100,IF(E98&gt;=$N$101,$Q$101,IF(E98&gt;=$N$102,$Q$102,IF(E98&lt;=$P$103,$Q$103))))))))</f>
        <v>B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 t="str">
        <f t="shared" si="28"/>
        <v>-</v>
      </c>
      <c r="M98" s="20" t="e">
        <f t="shared" ref="M98:M104" si="32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>
        <f t="shared" si="29"/>
        <v>0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25</v>
      </c>
      <c r="B99" s="38">
        <v>5546000024</v>
      </c>
      <c r="C99" s="39" t="s">
        <v>104</v>
      </c>
      <c r="D99" s="8">
        <f t="shared" si="27"/>
        <v>79.83</v>
      </c>
      <c r="E99" s="8">
        <f t="shared" si="27"/>
        <v>481.3</v>
      </c>
      <c r="F99" s="7" t="str">
        <f t="shared" si="30"/>
        <v>-</v>
      </c>
      <c r="G99" s="7" t="str">
        <f t="shared" si="31"/>
        <v>B+</v>
      </c>
      <c r="I99" s="6" t="str">
        <f>IF(OR($E$110=8,$E$110=6,$E$110=4),$J$100+0.01,"-")</f>
        <v>-</v>
      </c>
      <c r="J99" s="6" t="str">
        <f>IF(OR($E$110=8,$E$110=6,$E$110=4),$I$99+$E$111,"-")</f>
        <v>-</v>
      </c>
      <c r="K99" s="7" t="str">
        <f>IF($E$110=8,$T$95,IF($E$110=6,$T$94,IF($E$110=4,$T$93,"-")))</f>
        <v>-</v>
      </c>
      <c r="L99" s="7" t="str">
        <f t="shared" si="28"/>
        <v>-</v>
      </c>
      <c r="M99" s="20">
        <f t="shared" si="32"/>
        <v>55.710000000000036</v>
      </c>
      <c r="N99" s="8">
        <f>IF(OR($E$110=3,$E$110=5,$E$110=7),$P$100+0.01,"-")</f>
        <v>527.86500000000001</v>
      </c>
      <c r="O99" s="13"/>
      <c r="P99" s="8">
        <f>IF(OR($E$110=3,$E$110=5,$E$110=7),$N$99+$E$111,"-")</f>
        <v>583.57500000000005</v>
      </c>
      <c r="Q99" s="7" t="str">
        <f>IF($E$110=7,$T$95,IF($E$110=5,$T$94,IF($E$110=3,$T$93,"-")))</f>
        <v>A</v>
      </c>
      <c r="R99" s="7">
        <f t="shared" si="29"/>
        <v>3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35</v>
      </c>
      <c r="B100" s="38">
        <v>5546000034</v>
      </c>
      <c r="C100" s="39" t="s">
        <v>105</v>
      </c>
      <c r="D100" s="8">
        <f t="shared" si="27"/>
        <v>80.34</v>
      </c>
      <c r="E100" s="8">
        <f t="shared" si="27"/>
        <v>487.39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-</v>
      </c>
      <c r="G100" s="7" t="str">
        <f t="shared" si="31"/>
        <v>B+</v>
      </c>
      <c r="I100" s="31" t="str">
        <f>IF(OR($E$110=2,$E$110=4,$E$110=6,$E$110=8),$E$106,"-")</f>
        <v>-</v>
      </c>
      <c r="J100" s="8" t="str">
        <f>IF(OR($E$110=2,$E$110=4,$E$110=6,$E$110=8),$E$106+$E$111,"-")</f>
        <v>-</v>
      </c>
      <c r="K100" s="7" t="str">
        <f>IF($E$110=8,$T$96,IF($E$110=6,$T$95,IF($E$110=4,$T$94,IF($E$110=2,$T$93,"-"))))</f>
        <v>-</v>
      </c>
      <c r="L100" s="7" t="str">
        <f t="shared" si="28"/>
        <v>-</v>
      </c>
      <c r="M100" s="20">
        <f t="shared" si="32"/>
        <v>55.710000000000036</v>
      </c>
      <c r="N100" s="8">
        <f>IF(OR($E$110=1,$E$110=3,$E$110=5,$E$110=7),$E$106-($E$111/2),"-")</f>
        <v>472.14499999999998</v>
      </c>
      <c r="O100" s="31">
        <f>IF(OR($E$110=1,$E$110=3,$E$110=5,$E$110=7),$E$106,"-")</f>
        <v>500</v>
      </c>
      <c r="P100" s="8">
        <f>IF(OR($E$110=1,$E$110=3,$E$110=5,$E$110=7),$E$106+($E$111/2),"-")</f>
        <v>527.85500000000002</v>
      </c>
      <c r="Q100" s="7" t="str">
        <f>IF($E$110=7,$T$96,IF($E$110=5,$T$95,IF($E$110=3,$T$94,IF($E$110=1,$T$93,"-"))))</f>
        <v>B+</v>
      </c>
      <c r="R100" s="7">
        <f t="shared" si="29"/>
        <v>3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45</v>
      </c>
      <c r="B101" s="38">
        <v>5546000044</v>
      </c>
      <c r="C101" s="39" t="s">
        <v>106</v>
      </c>
      <c r="D101" s="8">
        <f t="shared" si="27"/>
        <v>82.23</v>
      </c>
      <c r="E101" s="8">
        <f t="shared" si="27"/>
        <v>534.29</v>
      </c>
      <c r="F101" s="7" t="str">
        <f t="shared" si="30"/>
        <v>-</v>
      </c>
      <c r="G101" s="7" t="str">
        <f t="shared" si="31"/>
        <v>A</v>
      </c>
      <c r="I101" s="6" t="str">
        <f>IF(OR($E$110=2,$E$110=4,$E$110=6,$E$110=8),$J$101-$E$111,"-")</f>
        <v>-</v>
      </c>
      <c r="J101" s="8" t="str">
        <f>IF(OR($E$110=2,$E$110=4,$E$110=6,$E$110=8),$I$100-0.01,"-")</f>
        <v>-</v>
      </c>
      <c r="K101" s="7" t="str">
        <f>IF($E$110=8,$T$97,IF($E$110=6,$T$96,IF($E$110=4,$T$95,IF($E$110=2,$T$94,"-"))))</f>
        <v>-</v>
      </c>
      <c r="L101" s="7" t="str">
        <f t="shared" si="28"/>
        <v>-</v>
      </c>
      <c r="M101" s="20">
        <f t="shared" si="32"/>
        <v>55.70999999999998</v>
      </c>
      <c r="N101" s="8">
        <f>IF(OR($E$110=3,$E$110=5,$E$110=7),$P$101-$E$111,"-")</f>
        <v>416.42500000000001</v>
      </c>
      <c r="O101" s="13"/>
      <c r="P101" s="8">
        <f>IF(OR($E$110=3,$E$110=5,$E$110=7),$N$100-0.01,"-")</f>
        <v>472.13499999999999</v>
      </c>
      <c r="Q101" s="7" t="str">
        <f>IF($E$110=7,$T$97,IF($E$110=5,$T$96,IF($E$110=3,$T$95,"-")))</f>
        <v>B</v>
      </c>
      <c r="R101" s="7">
        <f t="shared" si="29"/>
        <v>2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55</v>
      </c>
      <c r="B102" s="38">
        <v>5546000054</v>
      </c>
      <c r="C102" s="39" t="s">
        <v>107</v>
      </c>
      <c r="D102" s="8">
        <f t="shared" si="27"/>
        <v>81.05</v>
      </c>
      <c r="E102" s="8">
        <f t="shared" si="27"/>
        <v>494.6</v>
      </c>
      <c r="F102" s="7" t="str">
        <f t="shared" si="30"/>
        <v>-</v>
      </c>
      <c r="G102" s="7" t="str">
        <f t="shared" si="31"/>
        <v>B+</v>
      </c>
      <c r="I102" s="47" t="str">
        <f>IF(OR($E$110=4,$E$110=6,$E$110=8),$J$102-$E$111,"-")</f>
        <v>-</v>
      </c>
      <c r="J102" s="6" t="str">
        <f>IF(OR($E$110=8,$E$110=6,$E$110=4),$I$101-0.01,"-")</f>
        <v>-</v>
      </c>
      <c r="K102" s="7" t="str">
        <f>IF($E$110=8,$T$98,IF($E$110=6,$T$97,IF($E$110=4,$T$96,"-")))</f>
        <v>-</v>
      </c>
      <c r="L102" s="7" t="str">
        <f t="shared" si="28"/>
        <v>-</v>
      </c>
      <c r="M102" s="20" t="e">
        <f t="shared" si="32"/>
        <v>#VALUE!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>
        <f t="shared" si="29"/>
        <v>0</v>
      </c>
    </row>
    <row r="103" spans="1:20" ht="23" thickBot="1" x14ac:dyDescent="0.4">
      <c r="A103" s="6">
        <v>65</v>
      </c>
      <c r="B103" s="38">
        <v>5546000064</v>
      </c>
      <c r="C103" s="39" t="s">
        <v>108</v>
      </c>
      <c r="D103" s="8">
        <f t="shared" si="27"/>
        <v>84.8</v>
      </c>
      <c r="E103" s="8">
        <f t="shared" si="27"/>
        <v>579.70000000000005</v>
      </c>
      <c r="F103" s="7" t="str">
        <f t="shared" si="30"/>
        <v>-</v>
      </c>
      <c r="G103" s="7" t="str">
        <f t="shared" si="31"/>
        <v>A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 t="str">
        <f t="shared" si="28"/>
        <v>-</v>
      </c>
      <c r="M103" s="20" t="e">
        <f t="shared" si="32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>
        <f t="shared" si="29"/>
        <v>0</v>
      </c>
    </row>
    <row r="104" spans="1:20" ht="23" thickBot="1" x14ac:dyDescent="0.4">
      <c r="A104" s="6">
        <v>75</v>
      </c>
      <c r="B104" s="38">
        <v>5546000074</v>
      </c>
      <c r="C104" s="39" t="s">
        <v>109</v>
      </c>
      <c r="D104" s="8">
        <f>ROUND(SUM(E15,H15,K15,N15,Q15,E29,H29,K29,N29,Q29,E44,H44,K44,N44,Q44,E58,H58,K58,N58,Q58,E73,H73,K73,N73,Q73,E88,H88,K88,N88,Q88),2)</f>
        <v>85.01</v>
      </c>
      <c r="E104" s="8">
        <f>ROUND(SUM(F15,I15,L15,O15,R15,F29,I29,L29,O29,R29,F44,I44,L44,O44,R44,F58,I58,L58,O58,R58,F73,I73,L73,O73,R73,F88,I88,L88,O88,R88),2)</f>
        <v>584.20000000000005</v>
      </c>
      <c r="F104" s="7" t="str">
        <f t="shared" si="30"/>
        <v>-</v>
      </c>
      <c r="G104" s="7" t="str">
        <f t="shared" si="31"/>
        <v>A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 t="e">
        <f>IF(#REF!="-","-",COUNTIF($F$97:$F$104,K104))</f>
        <v>#REF!</v>
      </c>
      <c r="M104" s="20" t="e">
        <f t="shared" si="32"/>
        <v>#VALUE!</v>
      </c>
      <c r="N104" s="218" t="s">
        <v>1</v>
      </c>
      <c r="O104" s="219"/>
      <c r="P104" s="219"/>
      <c r="Q104" s="220"/>
      <c r="R104" s="33">
        <f>SUM($R$97:$R$103)</f>
        <v>8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 t="e">
        <f>SUM($L$97:$L$104)</f>
        <v>#REF!</v>
      </c>
    </row>
    <row r="106" spans="1:20" x14ac:dyDescent="0.35">
      <c r="C106" s="4" t="s">
        <v>13</v>
      </c>
      <c r="D106" s="37">
        <f>ROUND(AVERAGE($D$97:$D$104),2)</f>
        <v>80.89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85.01</v>
      </c>
      <c r="E107" s="37">
        <f>ROUND(MAX($E$97:$E$104),2)</f>
        <v>584.20000000000005</v>
      </c>
      <c r="I107" s="45"/>
      <c r="J107" s="45"/>
    </row>
    <row r="108" spans="1:20" x14ac:dyDescent="0.35">
      <c r="C108" s="4" t="s">
        <v>19</v>
      </c>
      <c r="D108" s="37">
        <f>ROUND(MIN($D$97:$D$104),2)</f>
        <v>76.75</v>
      </c>
      <c r="E108" s="37">
        <f>ROUND(MIN($E$97:$E$104),2)</f>
        <v>417.06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167.14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3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55.71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N104:Q104"/>
    <mergeCell ref="I105:K105"/>
    <mergeCell ref="N111:R111"/>
    <mergeCell ref="N112:R112"/>
    <mergeCell ref="N113:R113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G34:I34"/>
    <mergeCell ref="J34:L34"/>
    <mergeCell ref="M34:O34"/>
    <mergeCell ref="P34:R34"/>
    <mergeCell ref="M49:O49"/>
    <mergeCell ref="P49:R49"/>
    <mergeCell ref="D33:F33"/>
    <mergeCell ref="A34:A36"/>
    <mergeCell ref="B34:B36"/>
    <mergeCell ref="C34:C36"/>
    <mergeCell ref="D34:F34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</mergeCells>
  <pageMargins left="0.70866141732283472" right="0.70866141732283472" top="0.31496062992125984" bottom="0.19685039370078741" header="0.31496062992125984" footer="0.19685039370078741"/>
  <pageSetup paperSize="9" scale="79" orientation="landscape" r:id="rId1"/>
  <rowBreaks count="3" manualBreakCount="3">
    <brk id="32" max="16383" man="1"/>
    <brk id="62" max="17" man="1"/>
    <brk id="92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113"/>
  <sheetViews>
    <sheetView view="pageBreakPreview" topLeftCell="A45" zoomScale="90" zoomScaleNormal="90" zoomScaleSheetLayoutView="90" workbookViewId="0">
      <selection activeCell="G97" sqref="G97:G104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120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7</v>
      </c>
      <c r="B8" s="38">
        <v>5546000006</v>
      </c>
      <c r="C8" s="39" t="s">
        <v>112</v>
      </c>
      <c r="D8" s="12">
        <v>63</v>
      </c>
      <c r="E8" s="8">
        <f>(D8*$E$7)/$D$7</f>
        <v>16.8</v>
      </c>
      <c r="F8" s="3">
        <f t="shared" ref="F8:F15" si="0">IF($D$17=0,50,(50+(10*(STANDARDIZE(D8,$D$16,$D$17)))))*$F$7</f>
        <v>116.68138337299246</v>
      </c>
      <c r="G8" s="12">
        <v>23</v>
      </c>
      <c r="H8" s="8">
        <f>(G8*$H$7)/$G$7</f>
        <v>7.666666666666667</v>
      </c>
      <c r="I8" s="3">
        <f t="shared" ref="I8:I15" si="1">IF($G$17=0,50,(50+(10*(STANDARDIZE(G8,$G$16,$G$17)))))*$I$7</f>
        <v>49.142507074287458</v>
      </c>
      <c r="J8" s="12">
        <v>42</v>
      </c>
      <c r="K8" s="8">
        <f>(J8*$K$7)/$J$7</f>
        <v>4.2</v>
      </c>
      <c r="L8" s="3">
        <f t="shared" ref="L8:L15" si="2">IF($J$17=0,50,(50+(10*(STANDARDIZE(J8,$J$16,$J$17)))))*$L$7</f>
        <v>26.356448771988106</v>
      </c>
      <c r="M8" s="12">
        <v>89</v>
      </c>
      <c r="N8" s="8">
        <f>(M8*$N$7)/$M$7</f>
        <v>8.9</v>
      </c>
      <c r="O8" s="3">
        <f t="shared" ref="O8:O15" si="3">IF($M$17=0,50,(50+(10*(STANDARDIZE(M8,$M$16,$M$17)))))*$O$7</f>
        <v>62.977713690461002</v>
      </c>
      <c r="P8" s="12">
        <v>39</v>
      </c>
      <c r="Q8" s="8">
        <f>(P8*$Q$7)/$P$7</f>
        <v>7.8</v>
      </c>
      <c r="R8" s="3">
        <f t="shared" ref="R8:R15" si="4">IF($P$17=0,50,(50+(10*(STANDARDIZE(P8,$P$16,$P$17)))))*$R$7</f>
        <v>52.975949479350035</v>
      </c>
    </row>
    <row r="9" spans="1:22" ht="22" x14ac:dyDescent="0.35">
      <c r="A9" s="6">
        <v>17</v>
      </c>
      <c r="B9" s="38">
        <v>5546000016</v>
      </c>
      <c r="C9" s="39" t="s">
        <v>113</v>
      </c>
      <c r="D9" s="12">
        <v>51</v>
      </c>
      <c r="E9" s="8">
        <f t="shared" ref="E9:E15" si="5">(D9*$E$7)/$D$7</f>
        <v>13.6</v>
      </c>
      <c r="F9" s="3">
        <f t="shared" si="0"/>
        <v>63.300956579416599</v>
      </c>
      <c r="G9" s="12">
        <v>24</v>
      </c>
      <c r="H9" s="8">
        <f t="shared" ref="H9:H15" si="6">(G9*$H$7)/$G$7</f>
        <v>8</v>
      </c>
      <c r="I9" s="3">
        <f t="shared" si="1"/>
        <v>56.002450479987807</v>
      </c>
      <c r="J9" s="12">
        <v>38</v>
      </c>
      <c r="K9" s="8">
        <f t="shared" ref="K9:K15" si="7">(J9*$K$7)/$J$7</f>
        <v>3.8</v>
      </c>
      <c r="L9" s="3">
        <f t="shared" si="2"/>
        <v>19.122055321384881</v>
      </c>
      <c r="M9" s="12">
        <v>75</v>
      </c>
      <c r="N9" s="8">
        <f t="shared" ref="N9:N15" si="8">(M9*$N$7)/$M$7</f>
        <v>7.5</v>
      </c>
      <c r="O9" s="3">
        <f t="shared" si="3"/>
        <v>40.266714732154249</v>
      </c>
      <c r="P9" s="12">
        <v>32</v>
      </c>
      <c r="Q9" s="8">
        <f t="shared" ref="Q9:Q15" si="9">(P9*$Q$7)/$P$7</f>
        <v>6.4</v>
      </c>
      <c r="R9" s="3">
        <f t="shared" si="4"/>
        <v>36.310632394989852</v>
      </c>
      <c r="V9" s="1" t="s">
        <v>2</v>
      </c>
    </row>
    <row r="10" spans="1:22" ht="22" x14ac:dyDescent="0.35">
      <c r="A10" s="6">
        <v>27</v>
      </c>
      <c r="B10" s="38">
        <v>5546000026</v>
      </c>
      <c r="C10" s="39" t="s">
        <v>114</v>
      </c>
      <c r="D10" s="12">
        <v>62</v>
      </c>
      <c r="E10" s="8">
        <f t="shared" si="5"/>
        <v>16.533333333333335</v>
      </c>
      <c r="F10" s="3">
        <f t="shared" si="0"/>
        <v>112.2330144735278</v>
      </c>
      <c r="G10" s="12">
        <v>24</v>
      </c>
      <c r="H10" s="8">
        <f t="shared" si="6"/>
        <v>8</v>
      </c>
      <c r="I10" s="3">
        <f t="shared" si="1"/>
        <v>56.002450479987807</v>
      </c>
      <c r="J10" s="12">
        <v>40</v>
      </c>
      <c r="K10" s="8">
        <f t="shared" si="7"/>
        <v>4</v>
      </c>
      <c r="L10" s="3">
        <f t="shared" si="2"/>
        <v>22.739252046686492</v>
      </c>
      <c r="M10" s="12">
        <v>80</v>
      </c>
      <c r="N10" s="8">
        <f t="shared" si="8"/>
        <v>8</v>
      </c>
      <c r="O10" s="3">
        <f t="shared" si="3"/>
        <v>48.377785788692371</v>
      </c>
      <c r="P10" s="12">
        <v>38</v>
      </c>
      <c r="Q10" s="8">
        <f t="shared" si="9"/>
        <v>7.6</v>
      </c>
      <c r="R10" s="3">
        <f t="shared" si="4"/>
        <v>50.595189895870007</v>
      </c>
    </row>
    <row r="11" spans="1:22" ht="22" x14ac:dyDescent="0.35">
      <c r="A11" s="6">
        <v>37</v>
      </c>
      <c r="B11" s="38">
        <v>5546000036</v>
      </c>
      <c r="C11" s="39" t="s">
        <v>115</v>
      </c>
      <c r="D11" s="12">
        <v>64</v>
      </c>
      <c r="E11" s="8">
        <f t="shared" si="5"/>
        <v>17.066666666666666</v>
      </c>
      <c r="F11" s="3">
        <f t="shared" si="0"/>
        <v>121.12975227245711</v>
      </c>
      <c r="G11" s="12">
        <v>25</v>
      </c>
      <c r="H11" s="8">
        <f t="shared" si="6"/>
        <v>8.3333333333333339</v>
      </c>
      <c r="I11" s="3">
        <f t="shared" si="1"/>
        <v>62.862393885688164</v>
      </c>
      <c r="J11" s="12">
        <v>45</v>
      </c>
      <c r="K11" s="8">
        <f t="shared" si="7"/>
        <v>4.5</v>
      </c>
      <c r="L11" s="3">
        <f t="shared" si="2"/>
        <v>31.782243859940522</v>
      </c>
      <c r="M11" s="12">
        <v>88</v>
      </c>
      <c r="N11" s="8">
        <f t="shared" si="8"/>
        <v>8.8000000000000007</v>
      </c>
      <c r="O11" s="3">
        <f t="shared" si="3"/>
        <v>61.35549947915338</v>
      </c>
      <c r="P11" s="12">
        <v>44</v>
      </c>
      <c r="Q11" s="8">
        <f t="shared" si="9"/>
        <v>8.8000000000000007</v>
      </c>
      <c r="R11" s="3">
        <f t="shared" si="4"/>
        <v>64.879747396750162</v>
      </c>
      <c r="V11" s="1" t="s">
        <v>2</v>
      </c>
    </row>
    <row r="12" spans="1:22" ht="22" x14ac:dyDescent="0.35">
      <c r="A12" s="6">
        <v>47</v>
      </c>
      <c r="B12" s="38">
        <v>5546000046</v>
      </c>
      <c r="C12" s="39" t="s">
        <v>116</v>
      </c>
      <c r="D12" s="12">
        <v>56</v>
      </c>
      <c r="E12" s="8">
        <f t="shared" si="5"/>
        <v>14.933333333333334</v>
      </c>
      <c r="F12" s="3">
        <f t="shared" si="0"/>
        <v>85.542801076739877</v>
      </c>
      <c r="G12" s="12">
        <v>21</v>
      </c>
      <c r="H12" s="8">
        <f t="shared" si="6"/>
        <v>7</v>
      </c>
      <c r="I12" s="3">
        <f t="shared" si="1"/>
        <v>35.422620262886753</v>
      </c>
      <c r="J12" s="12">
        <v>40</v>
      </c>
      <c r="K12" s="8">
        <f t="shared" si="7"/>
        <v>4</v>
      </c>
      <c r="L12" s="3">
        <f t="shared" si="2"/>
        <v>22.739252046686492</v>
      </c>
      <c r="M12" s="12">
        <v>78</v>
      </c>
      <c r="N12" s="8">
        <f t="shared" si="8"/>
        <v>7.8</v>
      </c>
      <c r="O12" s="3">
        <f t="shared" si="3"/>
        <v>45.133357366077121</v>
      </c>
      <c r="P12" s="12">
        <v>35</v>
      </c>
      <c r="Q12" s="8">
        <f t="shared" si="9"/>
        <v>7</v>
      </c>
      <c r="R12" s="3">
        <f t="shared" si="4"/>
        <v>43.45291114542993</v>
      </c>
    </row>
    <row r="13" spans="1:22" ht="22" x14ac:dyDescent="0.35">
      <c r="A13" s="6">
        <v>57</v>
      </c>
      <c r="B13" s="38">
        <v>5546000056</v>
      </c>
      <c r="C13" s="39" t="s">
        <v>117</v>
      </c>
      <c r="D13" s="12">
        <v>60</v>
      </c>
      <c r="E13" s="8">
        <f t="shared" si="5"/>
        <v>16</v>
      </c>
      <c r="F13" s="3">
        <f t="shared" si="0"/>
        <v>103.33627667459849</v>
      </c>
      <c r="G13" s="12">
        <v>23</v>
      </c>
      <c r="H13" s="8">
        <f t="shared" si="6"/>
        <v>7.666666666666667</v>
      </c>
      <c r="I13" s="3">
        <f t="shared" si="1"/>
        <v>49.142507074287458</v>
      </c>
      <c r="J13" s="12">
        <v>42</v>
      </c>
      <c r="K13" s="8">
        <f t="shared" si="7"/>
        <v>4.2</v>
      </c>
      <c r="L13" s="3">
        <f t="shared" si="2"/>
        <v>26.356448771988106</v>
      </c>
      <c r="M13" s="12">
        <v>80</v>
      </c>
      <c r="N13" s="8">
        <f t="shared" si="8"/>
        <v>8</v>
      </c>
      <c r="O13" s="3">
        <f t="shared" si="3"/>
        <v>48.377785788692371</v>
      </c>
      <c r="P13" s="12">
        <v>39</v>
      </c>
      <c r="Q13" s="8">
        <f t="shared" si="9"/>
        <v>7.8</v>
      </c>
      <c r="R13" s="3">
        <f t="shared" si="4"/>
        <v>52.975949479350035</v>
      </c>
    </row>
    <row r="14" spans="1:22" ht="22" x14ac:dyDescent="0.35">
      <c r="A14" s="6">
        <v>67</v>
      </c>
      <c r="B14" s="38">
        <v>5546000066</v>
      </c>
      <c r="C14" s="39" t="s">
        <v>118</v>
      </c>
      <c r="D14" s="12">
        <v>62</v>
      </c>
      <c r="E14" s="8">
        <f t="shared" si="5"/>
        <v>16.533333333333335</v>
      </c>
      <c r="F14" s="3">
        <f t="shared" si="0"/>
        <v>112.2330144735278</v>
      </c>
      <c r="G14" s="12">
        <v>24</v>
      </c>
      <c r="H14" s="8">
        <f t="shared" si="6"/>
        <v>8</v>
      </c>
      <c r="I14" s="3">
        <f t="shared" si="1"/>
        <v>56.002450479987807</v>
      </c>
      <c r="J14" s="12">
        <v>45</v>
      </c>
      <c r="K14" s="8">
        <f t="shared" si="7"/>
        <v>4.5</v>
      </c>
      <c r="L14" s="3">
        <f t="shared" si="2"/>
        <v>31.782243859940522</v>
      </c>
      <c r="M14" s="12">
        <v>86</v>
      </c>
      <c r="N14" s="8">
        <f t="shared" si="8"/>
        <v>8.6</v>
      </c>
      <c r="O14" s="3">
        <f t="shared" si="3"/>
        <v>58.11107105653813</v>
      </c>
      <c r="P14" s="12">
        <v>42</v>
      </c>
      <c r="Q14" s="8">
        <f t="shared" si="9"/>
        <v>8.4</v>
      </c>
      <c r="R14" s="3">
        <f t="shared" si="4"/>
        <v>60.118228229790105</v>
      </c>
    </row>
    <row r="15" spans="1:22" ht="22" x14ac:dyDescent="0.35">
      <c r="A15" s="6">
        <v>77</v>
      </c>
      <c r="B15" s="38">
        <v>5546000076</v>
      </c>
      <c r="C15" s="39" t="s">
        <v>119</v>
      </c>
      <c r="D15" s="12">
        <v>56</v>
      </c>
      <c r="E15" s="8">
        <f t="shared" si="5"/>
        <v>14.933333333333334</v>
      </c>
      <c r="F15" s="3">
        <f t="shared" si="0"/>
        <v>85.542801076739877</v>
      </c>
      <c r="G15" s="12">
        <v>21</v>
      </c>
      <c r="H15" s="8">
        <f t="shared" si="6"/>
        <v>7</v>
      </c>
      <c r="I15" s="3">
        <f t="shared" si="1"/>
        <v>35.422620262886753</v>
      </c>
      <c r="J15" s="12">
        <v>38</v>
      </c>
      <c r="K15" s="8">
        <f t="shared" si="7"/>
        <v>3.8</v>
      </c>
      <c r="L15" s="3">
        <f t="shared" si="2"/>
        <v>19.122055321384881</v>
      </c>
      <c r="M15" s="12">
        <v>72</v>
      </c>
      <c r="N15" s="8">
        <f t="shared" si="8"/>
        <v>7.2</v>
      </c>
      <c r="O15" s="3">
        <f t="shared" si="3"/>
        <v>35.400072098231369</v>
      </c>
      <c r="P15" s="12">
        <v>33</v>
      </c>
      <c r="Q15" s="8">
        <f t="shared" si="9"/>
        <v>6.6</v>
      </c>
      <c r="R15" s="3">
        <f t="shared" si="4"/>
        <v>38.691391978469881</v>
      </c>
    </row>
    <row r="16" spans="1:22" ht="18" customHeight="1" x14ac:dyDescent="0.35">
      <c r="C16" s="42" t="s">
        <v>13</v>
      </c>
      <c r="D16" s="9">
        <f>AVERAGE($D$8:$D$15)</f>
        <v>59.25</v>
      </c>
      <c r="E16" s="2"/>
      <c r="F16" s="2"/>
      <c r="G16" s="9">
        <f>AVERAGE($G$8:$G$15)</f>
        <v>23.125</v>
      </c>
      <c r="J16" s="9">
        <f>AVERAGE($J$8:$J$15)</f>
        <v>41.25</v>
      </c>
      <c r="M16" s="9">
        <f>AVERAGE($M$8:$M$15)</f>
        <v>81</v>
      </c>
      <c r="P16" s="9">
        <f>AVERAGE($P$8:$P$15)</f>
        <v>37.75</v>
      </c>
    </row>
    <row r="17" spans="1:19" ht="18" customHeight="1" x14ac:dyDescent="0.35">
      <c r="C17" s="42" t="s">
        <v>14</v>
      </c>
      <c r="D17" s="9">
        <f>STDEV($D$8:$D$15)</f>
        <v>4.4960299948160616</v>
      </c>
      <c r="E17" s="2"/>
      <c r="F17" s="2"/>
      <c r="G17" s="9">
        <f>STDEV($G$8:$G$15)</f>
        <v>1.4577379737113252</v>
      </c>
      <c r="J17" s="9">
        <f>STDEV($J$8:$J$15)</f>
        <v>2.7645717829090897</v>
      </c>
      <c r="M17" s="9">
        <f>STDEV(M8:M15)</f>
        <v>6.164414002968976</v>
      </c>
      <c r="P17" s="9">
        <f>STDEV(P8:P15)</f>
        <v>4.2003401222826158</v>
      </c>
    </row>
    <row r="18" spans="1:19" ht="18" customHeight="1" x14ac:dyDescent="0.35">
      <c r="C18" s="42"/>
      <c r="D18" s="206" t="s">
        <v>121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7</v>
      </c>
      <c r="B22" s="38">
        <v>5546000006</v>
      </c>
      <c r="C22" s="39" t="s">
        <v>112</v>
      </c>
      <c r="D22" s="12">
        <v>43</v>
      </c>
      <c r="E22" s="8">
        <f>(D22*$E$21)/$D$21</f>
        <v>4.3</v>
      </c>
      <c r="F22" s="3">
        <f t="shared" ref="F22:F29" si="10">IF($D$31=0,50,(50+(10*(STANDARDIZE(D22,$D$30,$D$31)))))*$F$21</f>
        <v>31.912683572590119</v>
      </c>
      <c r="G22" s="12">
        <v>34</v>
      </c>
      <c r="H22" s="8">
        <f>(G22*$H$21)/$G$21</f>
        <v>4.25</v>
      </c>
      <c r="I22" s="3">
        <f t="shared" ref="I22:I29" si="11">IF($G$31=0,50,(50+(10*(STANDARDIZE(G22,$G$30,$G$31)))))*$I$21</f>
        <v>25</v>
      </c>
      <c r="J22" s="12">
        <v>41</v>
      </c>
      <c r="K22" s="8">
        <f>(J22*$K$21)/$J$21</f>
        <v>4.0999999999999996</v>
      </c>
      <c r="L22" s="3">
        <f t="shared" ref="L22:L29" si="12">IF($J$31=0,50,(50+(10*(STANDARDIZE(J22,$J$30,$J$31)))))*$L$21</f>
        <v>25</v>
      </c>
      <c r="M22" s="12">
        <v>31</v>
      </c>
      <c r="N22" s="8">
        <f>(M22*$N$21)/$M$21</f>
        <v>3.875</v>
      </c>
      <c r="O22" s="3">
        <f t="shared" ref="O22:O29" si="13">IF($M$31=0,50,(50+(10*(STANDARDIZE(M22,$M$30,$M$31)))))*$O$21</f>
        <v>25</v>
      </c>
      <c r="P22" s="12">
        <v>56</v>
      </c>
      <c r="Q22" s="8">
        <f>(P22*$Q$21)/$P$21</f>
        <v>8</v>
      </c>
      <c r="R22" s="3">
        <f t="shared" ref="R22:R29" si="14">IF($P$31=0,50,(50+(10*(STANDARDIZE(P22,$P$30,$P$31)))))*$R$21</f>
        <v>40.998971252211305</v>
      </c>
    </row>
    <row r="23" spans="1:19" ht="22" x14ac:dyDescent="0.35">
      <c r="A23" s="6">
        <v>17</v>
      </c>
      <c r="B23" s="38">
        <v>5546000016</v>
      </c>
      <c r="C23" s="39" t="s">
        <v>113</v>
      </c>
      <c r="D23" s="12">
        <v>40</v>
      </c>
      <c r="E23" s="8">
        <f t="shared" ref="E23:E29" si="15">(D23*$E$21)/$D$21</f>
        <v>4</v>
      </c>
      <c r="F23" s="3">
        <f t="shared" si="10"/>
        <v>20.852389856445928</v>
      </c>
      <c r="G23" s="12">
        <v>34</v>
      </c>
      <c r="H23" s="8">
        <f t="shared" ref="H23:H29" si="16">(G23*$H$21)/$G$21</f>
        <v>4.25</v>
      </c>
      <c r="I23" s="3">
        <f t="shared" si="11"/>
        <v>25</v>
      </c>
      <c r="J23" s="12">
        <v>41</v>
      </c>
      <c r="K23" s="8">
        <f t="shared" ref="K23:K29" si="17">(J23*$K$21)/$J$21</f>
        <v>4.0999999999999996</v>
      </c>
      <c r="L23" s="3">
        <f t="shared" si="12"/>
        <v>25</v>
      </c>
      <c r="M23" s="12">
        <v>31</v>
      </c>
      <c r="N23" s="8">
        <f t="shared" ref="N23:N29" si="18">(M23*$N$21)/$M$21</f>
        <v>3.875</v>
      </c>
      <c r="O23" s="3">
        <f t="shared" si="13"/>
        <v>25</v>
      </c>
      <c r="P23" s="12">
        <v>58</v>
      </c>
      <c r="Q23" s="8">
        <f t="shared" ref="Q23:Q29" si="19">(P23*$Q$21)/$P$21</f>
        <v>8.2857142857142865</v>
      </c>
      <c r="R23" s="3">
        <f t="shared" si="14"/>
        <v>55.400617248673214</v>
      </c>
    </row>
    <row r="24" spans="1:19" ht="22" x14ac:dyDescent="0.35">
      <c r="A24" s="6">
        <v>27</v>
      </c>
      <c r="B24" s="38">
        <v>5546000026</v>
      </c>
      <c r="C24" s="39" t="s">
        <v>114</v>
      </c>
      <c r="D24" s="12">
        <v>42</v>
      </c>
      <c r="E24" s="8">
        <f t="shared" si="15"/>
        <v>4.2</v>
      </c>
      <c r="F24" s="3">
        <f t="shared" si="10"/>
        <v>28.225919000542056</v>
      </c>
      <c r="G24" s="12">
        <v>34</v>
      </c>
      <c r="H24" s="8">
        <f t="shared" si="16"/>
        <v>4.25</v>
      </c>
      <c r="I24" s="3">
        <f t="shared" si="11"/>
        <v>25</v>
      </c>
      <c r="J24" s="12">
        <v>41</v>
      </c>
      <c r="K24" s="8">
        <f t="shared" si="17"/>
        <v>4.0999999999999996</v>
      </c>
      <c r="L24" s="3">
        <f t="shared" si="12"/>
        <v>25</v>
      </c>
      <c r="M24" s="12">
        <v>31</v>
      </c>
      <c r="N24" s="8">
        <f t="shared" si="18"/>
        <v>3.875</v>
      </c>
      <c r="O24" s="3">
        <f t="shared" si="13"/>
        <v>25</v>
      </c>
      <c r="P24" s="12">
        <v>56</v>
      </c>
      <c r="Q24" s="8">
        <f t="shared" si="19"/>
        <v>8</v>
      </c>
      <c r="R24" s="3">
        <f t="shared" si="14"/>
        <v>40.998971252211305</v>
      </c>
    </row>
    <row r="25" spans="1:19" ht="22" x14ac:dyDescent="0.35">
      <c r="A25" s="6">
        <v>37</v>
      </c>
      <c r="B25" s="38">
        <v>5546000036</v>
      </c>
      <c r="C25" s="39" t="s">
        <v>115</v>
      </c>
      <c r="D25" s="12">
        <v>42</v>
      </c>
      <c r="E25" s="8">
        <f t="shared" si="15"/>
        <v>4.2</v>
      </c>
      <c r="F25" s="3">
        <f t="shared" si="10"/>
        <v>28.225919000542056</v>
      </c>
      <c r="G25" s="12">
        <v>34</v>
      </c>
      <c r="H25" s="8">
        <f t="shared" si="16"/>
        <v>4.25</v>
      </c>
      <c r="I25" s="3">
        <f t="shared" si="11"/>
        <v>25</v>
      </c>
      <c r="J25" s="12">
        <v>41</v>
      </c>
      <c r="K25" s="8">
        <f t="shared" si="17"/>
        <v>4.0999999999999996</v>
      </c>
      <c r="L25" s="3">
        <f t="shared" si="12"/>
        <v>25</v>
      </c>
      <c r="M25" s="12">
        <v>31</v>
      </c>
      <c r="N25" s="8">
        <f t="shared" si="18"/>
        <v>3.875</v>
      </c>
      <c r="O25" s="3">
        <f t="shared" si="13"/>
        <v>25</v>
      </c>
      <c r="P25" s="12">
        <v>58</v>
      </c>
      <c r="Q25" s="8">
        <f t="shared" si="19"/>
        <v>8.2857142857142865</v>
      </c>
      <c r="R25" s="3">
        <f t="shared" si="14"/>
        <v>55.400617248673214</v>
      </c>
    </row>
    <row r="26" spans="1:19" ht="22" x14ac:dyDescent="0.35">
      <c r="A26" s="6">
        <v>47</v>
      </c>
      <c r="B26" s="38">
        <v>5546000046</v>
      </c>
      <c r="C26" s="39" t="s">
        <v>116</v>
      </c>
      <c r="D26" s="12">
        <v>39</v>
      </c>
      <c r="E26" s="8">
        <f t="shared" si="15"/>
        <v>3.9</v>
      </c>
      <c r="F26" s="3">
        <f t="shared" si="10"/>
        <v>17.165625284397866</v>
      </c>
      <c r="G26" s="12">
        <v>34</v>
      </c>
      <c r="H26" s="8">
        <f t="shared" si="16"/>
        <v>4.25</v>
      </c>
      <c r="I26" s="3">
        <f t="shared" si="11"/>
        <v>25</v>
      </c>
      <c r="J26" s="12">
        <v>41</v>
      </c>
      <c r="K26" s="8">
        <f t="shared" si="17"/>
        <v>4.0999999999999996</v>
      </c>
      <c r="L26" s="3">
        <f t="shared" si="12"/>
        <v>25</v>
      </c>
      <c r="M26" s="12">
        <v>31</v>
      </c>
      <c r="N26" s="8">
        <f t="shared" si="18"/>
        <v>3.875</v>
      </c>
      <c r="O26" s="3">
        <f t="shared" si="13"/>
        <v>25</v>
      </c>
      <c r="P26" s="12">
        <v>56</v>
      </c>
      <c r="Q26" s="8">
        <f t="shared" si="19"/>
        <v>8</v>
      </c>
      <c r="R26" s="3">
        <f t="shared" si="14"/>
        <v>40.998971252211305</v>
      </c>
    </row>
    <row r="27" spans="1:19" ht="22" x14ac:dyDescent="0.35">
      <c r="A27" s="6">
        <v>57</v>
      </c>
      <c r="B27" s="38">
        <v>5546000056</v>
      </c>
      <c r="C27" s="39" t="s">
        <v>117</v>
      </c>
      <c r="D27" s="12">
        <v>41</v>
      </c>
      <c r="E27" s="8">
        <f t="shared" si="15"/>
        <v>4.0999999999999996</v>
      </c>
      <c r="F27" s="3">
        <f t="shared" si="10"/>
        <v>24.53915442849399</v>
      </c>
      <c r="G27" s="12">
        <v>34</v>
      </c>
      <c r="H27" s="8">
        <f t="shared" si="16"/>
        <v>4.25</v>
      </c>
      <c r="I27" s="3">
        <f t="shared" si="11"/>
        <v>25</v>
      </c>
      <c r="J27" s="12">
        <v>41</v>
      </c>
      <c r="K27" s="8">
        <f t="shared" si="17"/>
        <v>4.0999999999999996</v>
      </c>
      <c r="L27" s="3">
        <f t="shared" si="12"/>
        <v>25</v>
      </c>
      <c r="M27" s="12">
        <v>31</v>
      </c>
      <c r="N27" s="8">
        <f t="shared" si="18"/>
        <v>3.875</v>
      </c>
      <c r="O27" s="3">
        <f t="shared" si="13"/>
        <v>25</v>
      </c>
      <c r="P27" s="12">
        <v>56</v>
      </c>
      <c r="Q27" s="8">
        <f t="shared" si="19"/>
        <v>8</v>
      </c>
      <c r="R27" s="3">
        <f t="shared" si="14"/>
        <v>40.998971252211305</v>
      </c>
    </row>
    <row r="28" spans="1:19" ht="22" x14ac:dyDescent="0.35">
      <c r="A28" s="6">
        <v>67</v>
      </c>
      <c r="B28" s="38">
        <v>5546000066</v>
      </c>
      <c r="C28" s="39" t="s">
        <v>118</v>
      </c>
      <c r="D28" s="12">
        <v>42</v>
      </c>
      <c r="E28" s="8">
        <f t="shared" si="15"/>
        <v>4.2</v>
      </c>
      <c r="F28" s="3">
        <f t="shared" si="10"/>
        <v>28.225919000542056</v>
      </c>
      <c r="G28" s="12">
        <v>34</v>
      </c>
      <c r="H28" s="8">
        <f t="shared" si="16"/>
        <v>4.25</v>
      </c>
      <c r="I28" s="3">
        <f t="shared" si="11"/>
        <v>25</v>
      </c>
      <c r="J28" s="12">
        <v>41</v>
      </c>
      <c r="K28" s="8">
        <f t="shared" si="17"/>
        <v>4.0999999999999996</v>
      </c>
      <c r="L28" s="3">
        <f t="shared" si="12"/>
        <v>25</v>
      </c>
      <c r="M28" s="12">
        <v>31</v>
      </c>
      <c r="N28" s="8">
        <f t="shared" si="18"/>
        <v>3.875</v>
      </c>
      <c r="O28" s="3">
        <f t="shared" si="13"/>
        <v>25</v>
      </c>
      <c r="P28" s="12">
        <v>59</v>
      </c>
      <c r="Q28" s="8">
        <f t="shared" si="19"/>
        <v>8.4285714285714288</v>
      </c>
      <c r="R28" s="3">
        <f t="shared" si="14"/>
        <v>62.601440246904176</v>
      </c>
    </row>
    <row r="29" spans="1:19" ht="22" x14ac:dyDescent="0.35">
      <c r="A29" s="6">
        <v>77</v>
      </c>
      <c r="B29" s="38">
        <v>5546000076</v>
      </c>
      <c r="C29" s="39" t="s">
        <v>119</v>
      </c>
      <c r="D29" s="12">
        <v>40</v>
      </c>
      <c r="E29" s="8">
        <f t="shared" si="15"/>
        <v>4</v>
      </c>
      <c r="F29" s="3">
        <f t="shared" si="10"/>
        <v>20.852389856445928</v>
      </c>
      <c r="G29" s="12">
        <v>34</v>
      </c>
      <c r="H29" s="8">
        <f t="shared" si="16"/>
        <v>4.25</v>
      </c>
      <c r="I29" s="3">
        <f t="shared" si="11"/>
        <v>25</v>
      </c>
      <c r="J29" s="12">
        <v>41</v>
      </c>
      <c r="K29" s="8">
        <f t="shared" si="17"/>
        <v>4.0999999999999996</v>
      </c>
      <c r="L29" s="3">
        <f t="shared" si="12"/>
        <v>25</v>
      </c>
      <c r="M29" s="12">
        <v>31</v>
      </c>
      <c r="N29" s="8">
        <f t="shared" si="18"/>
        <v>3.875</v>
      </c>
      <c r="O29" s="3">
        <f t="shared" si="13"/>
        <v>25</v>
      </c>
      <c r="P29" s="12">
        <v>59</v>
      </c>
      <c r="Q29" s="8">
        <f t="shared" si="19"/>
        <v>8.4285714285714288</v>
      </c>
      <c r="R29" s="3">
        <f t="shared" si="14"/>
        <v>62.601440246904176</v>
      </c>
    </row>
    <row r="30" spans="1:19" x14ac:dyDescent="0.35">
      <c r="C30" s="42" t="s">
        <v>13</v>
      </c>
      <c r="D30" s="9">
        <f>AVERAGE($D$22:$D$29)</f>
        <v>41.125</v>
      </c>
      <c r="G30" s="9">
        <f>AVERAGE($G$22:$G$29)</f>
        <v>34</v>
      </c>
      <c r="J30" s="9">
        <f>AVERAGE($J$22:$J$29)</f>
        <v>41</v>
      </c>
      <c r="M30" s="9">
        <f>AVERAGE($M$22:$M$29)</f>
        <v>31</v>
      </c>
      <c r="P30" s="9">
        <f>AVERAGE($P$22:$P$29)</f>
        <v>57.25</v>
      </c>
    </row>
    <row r="31" spans="1:19" x14ac:dyDescent="0.35">
      <c r="C31" s="42" t="s">
        <v>14</v>
      </c>
      <c r="D31" s="9">
        <f>STDEV($D$22:$D$29)</f>
        <v>1.3562026818605375</v>
      </c>
      <c r="F31" s="5"/>
      <c r="G31" s="9">
        <f>STDEV($G$22:$G$29)</f>
        <v>0</v>
      </c>
      <c r="J31" s="9">
        <f>STDEV($J$22:$J$29)</f>
        <v>0</v>
      </c>
      <c r="L31" s="5"/>
      <c r="M31" s="9">
        <f>STDEV($M$22:$M$29)</f>
        <v>0</v>
      </c>
      <c r="P31" s="9">
        <f>STDEV($P$22:$P$29)</f>
        <v>1.3887301496588271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99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7</v>
      </c>
      <c r="B37" s="38">
        <v>5546000006</v>
      </c>
      <c r="C37" s="39" t="s">
        <v>112</v>
      </c>
      <c r="D37" s="12">
        <v>26</v>
      </c>
      <c r="E37" s="8">
        <f>(D37*$E$36)/$D$36</f>
        <v>4.333333333333333</v>
      </c>
      <c r="F37" s="3">
        <f t="shared" ref="F37:F44" si="20">IF($D$46=0,50,(50+(10*(STANDARDIZE(D37,$D$45,$D$46)))))*$F$36</f>
        <v>31.0380736442456</v>
      </c>
      <c r="G37" s="12">
        <v>45</v>
      </c>
      <c r="H37" s="8">
        <f>(G37*$H$36)/$G$36</f>
        <v>4.5</v>
      </c>
      <c r="I37" s="3">
        <f t="shared" ref="I37:I44" si="21">IF($G$46=0,50,(50+(10*(STANDARDIZE(G37,$G$45,$G$46)))))*$I$36</f>
        <v>27.601310558895605</v>
      </c>
      <c r="J37" s="12">
        <v>40</v>
      </c>
      <c r="K37" s="8">
        <f>(J37*$K$36)/$J$36</f>
        <v>3.3333333333333335</v>
      </c>
      <c r="L37" s="3">
        <f t="shared" ref="L37:L44" si="22">IF($J$46=0,50,(50+(10*(STANDARDIZE(J37,$J$45,$J$46)))))*$L$36</f>
        <v>23.940851817829596</v>
      </c>
      <c r="M37" s="9"/>
      <c r="N37" s="19"/>
      <c r="O37" s="9"/>
      <c r="P37" s="2"/>
      <c r="Q37" s="19"/>
      <c r="R37" s="9"/>
    </row>
    <row r="38" spans="1:22" ht="22" x14ac:dyDescent="0.35">
      <c r="A38" s="6">
        <v>17</v>
      </c>
      <c r="B38" s="38">
        <v>5546000016</v>
      </c>
      <c r="C38" s="39" t="s">
        <v>113</v>
      </c>
      <c r="D38" s="12">
        <v>23</v>
      </c>
      <c r="E38" s="8">
        <f t="shared" ref="E38:E44" si="23">(D38*$E$36)/$D$36</f>
        <v>3.8333333333333335</v>
      </c>
      <c r="F38" s="3">
        <f t="shared" si="20"/>
        <v>16.546696898056162</v>
      </c>
      <c r="G38" s="12">
        <v>36</v>
      </c>
      <c r="H38" s="8">
        <f t="shared" ref="H38:H44" si="24">(G38*$H$36)/$G$36</f>
        <v>3.6</v>
      </c>
      <c r="I38" s="3">
        <f t="shared" si="21"/>
        <v>17.743712651501731</v>
      </c>
      <c r="J38" s="12">
        <v>33</v>
      </c>
      <c r="K38" s="8">
        <f t="shared" ref="K38:K44" si="25">(J38*$K$36)/$J$36</f>
        <v>2.75</v>
      </c>
      <c r="L38" s="3">
        <f t="shared" si="22"/>
        <v>16.526814542636764</v>
      </c>
      <c r="M38" s="9"/>
      <c r="N38" s="19"/>
      <c r="O38" s="9"/>
      <c r="P38" s="2"/>
      <c r="Q38" s="19"/>
      <c r="R38" s="9"/>
    </row>
    <row r="39" spans="1:22" ht="22" x14ac:dyDescent="0.35">
      <c r="A39" s="6">
        <v>27</v>
      </c>
      <c r="B39" s="38">
        <v>5546000026</v>
      </c>
      <c r="C39" s="39" t="s">
        <v>114</v>
      </c>
      <c r="D39" s="12">
        <v>25</v>
      </c>
      <c r="E39" s="8">
        <f t="shared" si="23"/>
        <v>4.166666666666667</v>
      </c>
      <c r="F39" s="3">
        <f t="shared" si="20"/>
        <v>26.207614728849119</v>
      </c>
      <c r="G39" s="12">
        <v>46</v>
      </c>
      <c r="H39" s="8">
        <f t="shared" si="24"/>
        <v>4.5999999999999996</v>
      </c>
      <c r="I39" s="3">
        <f t="shared" si="21"/>
        <v>28.696599215272702</v>
      </c>
      <c r="J39" s="12">
        <v>45</v>
      </c>
      <c r="K39" s="8">
        <f t="shared" si="25"/>
        <v>3.75</v>
      </c>
      <c r="L39" s="3">
        <f t="shared" si="22"/>
        <v>29.236592728681618</v>
      </c>
      <c r="M39" s="9"/>
      <c r="N39" s="19"/>
      <c r="O39" s="9"/>
      <c r="P39" s="2"/>
      <c r="Q39" s="19"/>
      <c r="R39" s="9"/>
    </row>
    <row r="40" spans="1:22" ht="22" x14ac:dyDescent="0.35">
      <c r="A40" s="6">
        <v>37</v>
      </c>
      <c r="B40" s="38">
        <v>5546000036</v>
      </c>
      <c r="C40" s="39" t="s">
        <v>115</v>
      </c>
      <c r="D40" s="12">
        <v>24</v>
      </c>
      <c r="E40" s="8">
        <f t="shared" si="23"/>
        <v>4</v>
      </c>
      <c r="F40" s="3">
        <f t="shared" si="20"/>
        <v>21.377155813452639</v>
      </c>
      <c r="G40" s="12">
        <v>46</v>
      </c>
      <c r="H40" s="8">
        <f t="shared" si="24"/>
        <v>4.5999999999999996</v>
      </c>
      <c r="I40" s="3">
        <f t="shared" si="21"/>
        <v>28.696599215272702</v>
      </c>
      <c r="J40" s="12">
        <v>44</v>
      </c>
      <c r="K40" s="8">
        <f t="shared" si="25"/>
        <v>3.6666666666666665</v>
      </c>
      <c r="L40" s="3">
        <f t="shared" si="22"/>
        <v>28.177444546511211</v>
      </c>
      <c r="M40" s="9"/>
      <c r="N40" s="19"/>
      <c r="O40" s="9"/>
      <c r="P40" s="2"/>
      <c r="Q40" s="19"/>
      <c r="R40" s="9"/>
    </row>
    <row r="41" spans="1:22" ht="22" x14ac:dyDescent="0.35">
      <c r="A41" s="6">
        <v>47</v>
      </c>
      <c r="B41" s="38">
        <v>5546000046</v>
      </c>
      <c r="C41" s="39" t="s">
        <v>116</v>
      </c>
      <c r="D41" s="12">
        <v>25</v>
      </c>
      <c r="E41" s="8">
        <f t="shared" si="23"/>
        <v>4.166666666666667</v>
      </c>
      <c r="F41" s="3">
        <f t="shared" si="20"/>
        <v>26.207614728849119</v>
      </c>
      <c r="G41" s="12">
        <v>40</v>
      </c>
      <c r="H41" s="8">
        <f t="shared" si="24"/>
        <v>4</v>
      </c>
      <c r="I41" s="3">
        <f t="shared" si="21"/>
        <v>22.124867277010122</v>
      </c>
      <c r="J41" s="12">
        <v>42</v>
      </c>
      <c r="K41" s="8">
        <f t="shared" si="25"/>
        <v>3.5</v>
      </c>
      <c r="L41" s="3">
        <f t="shared" si="22"/>
        <v>26.059148182170404</v>
      </c>
      <c r="M41" s="9"/>
      <c r="N41" s="19"/>
      <c r="O41" s="9"/>
      <c r="P41" s="2"/>
      <c r="Q41" s="19"/>
      <c r="R41" s="9"/>
    </row>
    <row r="42" spans="1:22" ht="22" x14ac:dyDescent="0.35">
      <c r="A42" s="6">
        <v>57</v>
      </c>
      <c r="B42" s="38">
        <v>5546000056</v>
      </c>
      <c r="C42" s="39" t="s">
        <v>117</v>
      </c>
      <c r="D42" s="12">
        <v>25</v>
      </c>
      <c r="E42" s="8">
        <f t="shared" si="23"/>
        <v>4.166666666666667</v>
      </c>
      <c r="F42" s="3">
        <f t="shared" si="20"/>
        <v>26.207614728849119</v>
      </c>
      <c r="G42" s="12">
        <v>46</v>
      </c>
      <c r="H42" s="8">
        <f t="shared" si="24"/>
        <v>4.5999999999999996</v>
      </c>
      <c r="I42" s="3">
        <f t="shared" si="21"/>
        <v>28.696599215272702</v>
      </c>
      <c r="J42" s="12">
        <v>46</v>
      </c>
      <c r="K42" s="8">
        <f t="shared" si="25"/>
        <v>3.8333333333333335</v>
      </c>
      <c r="L42" s="3">
        <f t="shared" si="22"/>
        <v>30.295740910852022</v>
      </c>
      <c r="M42" s="9"/>
      <c r="N42" s="19"/>
      <c r="O42" s="9"/>
      <c r="P42" s="2"/>
      <c r="Q42" s="19"/>
      <c r="R42" s="9"/>
    </row>
    <row r="43" spans="1:22" ht="22" x14ac:dyDescent="0.35">
      <c r="A43" s="6">
        <v>67</v>
      </c>
      <c r="B43" s="38">
        <v>5546000066</v>
      </c>
      <c r="C43" s="39" t="s">
        <v>118</v>
      </c>
      <c r="D43" s="12">
        <v>26</v>
      </c>
      <c r="E43" s="8">
        <f t="shared" si="23"/>
        <v>4.333333333333333</v>
      </c>
      <c r="F43" s="3">
        <f t="shared" si="20"/>
        <v>31.0380736442456</v>
      </c>
      <c r="G43" s="12">
        <v>46</v>
      </c>
      <c r="H43" s="8">
        <f t="shared" si="24"/>
        <v>4.5999999999999996</v>
      </c>
      <c r="I43" s="3">
        <f t="shared" si="21"/>
        <v>28.696599215272702</v>
      </c>
      <c r="J43" s="12">
        <v>43</v>
      </c>
      <c r="K43" s="8">
        <f t="shared" si="25"/>
        <v>3.5833333333333335</v>
      </c>
      <c r="L43" s="3">
        <f t="shared" si="22"/>
        <v>27.118296364340807</v>
      </c>
      <c r="M43" s="9"/>
      <c r="N43" s="19"/>
      <c r="O43" s="9"/>
      <c r="P43" s="2"/>
      <c r="Q43" s="19"/>
      <c r="R43" s="9"/>
    </row>
    <row r="44" spans="1:22" ht="22" x14ac:dyDescent="0.35">
      <c r="A44" s="6">
        <v>77</v>
      </c>
      <c r="B44" s="38">
        <v>5546000076</v>
      </c>
      <c r="C44" s="39" t="s">
        <v>119</v>
      </c>
      <c r="D44" s="12">
        <v>24</v>
      </c>
      <c r="E44" s="8">
        <f t="shared" si="23"/>
        <v>4</v>
      </c>
      <c r="F44" s="3">
        <f t="shared" si="20"/>
        <v>21.377155813452639</v>
      </c>
      <c r="G44" s="12">
        <v>36</v>
      </c>
      <c r="H44" s="8">
        <f t="shared" si="24"/>
        <v>3.6</v>
      </c>
      <c r="I44" s="3">
        <f t="shared" si="21"/>
        <v>17.743712651501731</v>
      </c>
      <c r="J44" s="12">
        <v>35</v>
      </c>
      <c r="K44" s="8">
        <f t="shared" si="25"/>
        <v>2.9166666666666665</v>
      </c>
      <c r="L44" s="3">
        <f t="shared" si="22"/>
        <v>18.645110906977575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24.75</v>
      </c>
      <c r="G45" s="9">
        <f>AVERAGE($G$37:$G$44)</f>
        <v>42.625</v>
      </c>
      <c r="J45" s="9">
        <f>AVERAGE($J$37:$J$44)</f>
        <v>41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1.0350983390135313</v>
      </c>
      <c r="F46" s="5"/>
      <c r="G46" s="9">
        <f>STDEV($G$37:$G$44)</f>
        <v>4.5650066499716857</v>
      </c>
      <c r="J46" s="9">
        <f>STDEV($J$37:$J$44)</f>
        <v>4.7207747548166585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47">
        <v>7</v>
      </c>
      <c r="B97" s="59">
        <v>5546000006</v>
      </c>
      <c r="C97" s="60" t="s">
        <v>112</v>
      </c>
      <c r="D97" s="61">
        <f t="shared" ref="D97:E103" si="27">ROUND(SUM(E8,H8,K8,N8,Q8,E22,H22,K22,N22,Q22,E37,H37,K37,N37,Q37,E52,H52,K52,N52,Q52,E67,H67,K67,N67,Q67,E82,H82,K82,N82,Q82),2)</f>
        <v>82.06</v>
      </c>
      <c r="E97" s="61">
        <f t="shared" si="27"/>
        <v>538.63</v>
      </c>
      <c r="F97" s="46" t="str">
        <f>IF($I$100="-","-",IF(E97&gt;=$I$97,$K$97,IF(E97&gt;=$I$98,$K$98,IF(E97&gt;=$I$99,$K$99,IF(E97&gt;=$I$100,$K$100,IF(E97&gt;=$I$101,$K$101,IF(E97&gt;=$I$102,$K$102,IF(E97&gt;=$I$103,$K$103,IF(E97&gt;=$I$104,$K$104)))))))))</f>
        <v>-</v>
      </c>
      <c r="G97" s="46" t="str">
        <f>IF($O$100="-","-",IF(E97&gt;=$N$97,$Q$97,IF(E97&gt;=$N$98,$Q$98,IF(E97&gt;=$N$99,$Q$99,IF(E97&gt;=$N$100,$Q$100,IF(E97&gt;=$N$101,$Q$101,IF(E97&gt;=$N$102,$Q$102,IF(E97&lt;=$P$103,$Q$103))))))))</f>
        <v>A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 t="str">
        <f t="shared" ref="L97:L103" si="28">IF(F97="-","-",COUNTIF($F$97:$F$104,K97))</f>
        <v>-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>
        <f t="shared" ref="R97:R103" si="29">IF(G97="-","-",COUNTIF($G$97:$G$104,Q97))</f>
        <v>1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48">
        <v>17</v>
      </c>
      <c r="B98" s="49">
        <v>5546000016</v>
      </c>
      <c r="C98" s="50" t="s">
        <v>113</v>
      </c>
      <c r="D98" s="51">
        <f t="shared" si="27"/>
        <v>73.989999999999995</v>
      </c>
      <c r="E98" s="51">
        <f t="shared" si="27"/>
        <v>417.07</v>
      </c>
      <c r="F98" s="52" t="str">
        <f t="shared" ref="F98:F104" si="30">IF($I$100="-","-",IF(E98&gt;=$I$97,$K$97,IF(E98&gt;=$I$98,$K$98,IF(E98&gt;=$I$99,$K$99,IF(E98&gt;=$I$100,$K$100,IF(E98&gt;=$I$101,$K$101,IF(E98&gt;=$I$102,$K$102,IF(E98&gt;=$I$103,$K$103,IF(E98&gt;=$I$104,$K$104)))))))))</f>
        <v>-</v>
      </c>
      <c r="G98" s="52" t="str">
        <f t="shared" ref="G98:G104" si="31">IF($O$100="-","-",IF(E98&gt;=$N$97,$Q$97,IF(E98&gt;=$N$98,$Q$98,IF(E98&gt;=$N$99,$Q$99,IF(E98&gt;=$N$100,$Q$100,IF(E98&gt;=$N$101,$Q$101,IF(E98&gt;=$N$102,$Q$102,IF(E98&lt;=$P$103,$Q$103))))))))</f>
        <v>-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 t="str">
        <f t="shared" si="28"/>
        <v>-</v>
      </c>
      <c r="M98" s="20" t="e">
        <f t="shared" ref="M98:M104" si="32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 t="str">
        <f t="shared" si="29"/>
        <v>-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27</v>
      </c>
      <c r="B99" s="38">
        <v>5546000026</v>
      </c>
      <c r="C99" s="39" t="s">
        <v>114</v>
      </c>
      <c r="D99" s="8">
        <f t="shared" si="27"/>
        <v>81.08</v>
      </c>
      <c r="E99" s="8">
        <f t="shared" si="27"/>
        <v>518.30999999999995</v>
      </c>
      <c r="F99" s="7" t="str">
        <f t="shared" si="30"/>
        <v>-</v>
      </c>
      <c r="G99" s="7" t="str">
        <f t="shared" si="31"/>
        <v>B+</v>
      </c>
      <c r="I99" s="6" t="str">
        <f>IF(OR($E$110=8,$E$110=6,$E$110=4),$J$100+0.01,"-")</f>
        <v>-</v>
      </c>
      <c r="J99" s="6" t="str">
        <f>IF(OR($E$110=8,$E$110=6,$E$110=4),$I$99+$E$111,"-")</f>
        <v>-</v>
      </c>
      <c r="K99" s="7" t="str">
        <f>IF($E$110=8,$T$95,IF($E$110=6,$T$94,IF($E$110=4,$T$93,"-")))</f>
        <v>-</v>
      </c>
      <c r="L99" s="7" t="str">
        <f t="shared" si="28"/>
        <v>-</v>
      </c>
      <c r="M99" s="20">
        <f t="shared" si="32"/>
        <v>53.940000000000055</v>
      </c>
      <c r="N99" s="8">
        <f>IF(OR($E$110=3,$E$110=5,$E$110=7),$P$100+0.01,"-")</f>
        <v>526.98</v>
      </c>
      <c r="O99" s="13"/>
      <c r="P99" s="8">
        <f>IF(OR($E$110=3,$E$110=5,$E$110=7),$N$99+$E$111,"-")</f>
        <v>580.92000000000007</v>
      </c>
      <c r="Q99" s="7" t="str">
        <f>IF($E$110=7,$T$95,IF($E$110=5,$T$94,IF($E$110=3,$T$93,"-")))</f>
        <v>A</v>
      </c>
      <c r="R99" s="7">
        <f t="shared" si="29"/>
        <v>3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37</v>
      </c>
      <c r="B100" s="38">
        <v>5546000036</v>
      </c>
      <c r="C100" s="39" t="s">
        <v>115</v>
      </c>
      <c r="D100" s="8">
        <f t="shared" si="27"/>
        <v>84.48</v>
      </c>
      <c r="E100" s="8">
        <f t="shared" si="27"/>
        <v>578.89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-</v>
      </c>
      <c r="G100" s="7" t="str">
        <f t="shared" si="31"/>
        <v>A</v>
      </c>
      <c r="I100" s="31" t="str">
        <f>IF(OR($E$110=2,$E$110=4,$E$110=6,$E$110=8),$E$106,"-")</f>
        <v>-</v>
      </c>
      <c r="J100" s="8" t="str">
        <f>IF(OR($E$110=2,$E$110=4,$E$110=6,$E$110=8),$E$106+$E$111,"-")</f>
        <v>-</v>
      </c>
      <c r="K100" s="7" t="str">
        <f>IF($E$110=8,$T$96,IF($E$110=6,$T$95,IF($E$110=4,$T$94,IF($E$110=2,$T$93,"-"))))</f>
        <v>-</v>
      </c>
      <c r="L100" s="7" t="str">
        <f t="shared" si="28"/>
        <v>-</v>
      </c>
      <c r="M100" s="20">
        <f t="shared" si="32"/>
        <v>53.940000000000055</v>
      </c>
      <c r="N100" s="8">
        <f>IF(OR($E$110=1,$E$110=3,$E$110=5,$E$110=7),$E$106-($E$111/2),"-")</f>
        <v>473.03</v>
      </c>
      <c r="O100" s="31">
        <f>IF(OR($E$110=1,$E$110=3,$E$110=5,$E$110=7),$E$106,"-")</f>
        <v>500</v>
      </c>
      <c r="P100" s="8">
        <f>IF(OR($E$110=1,$E$110=3,$E$110=5,$E$110=7),$E$106+($E$111/2),"-")</f>
        <v>526.97</v>
      </c>
      <c r="Q100" s="7" t="str">
        <f>IF($E$110=7,$T$96,IF($E$110=5,$T$95,IF($E$110=3,$T$94,IF($E$110=1,$T$93,"-"))))</f>
        <v>B+</v>
      </c>
      <c r="R100" s="7">
        <f t="shared" si="29"/>
        <v>2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47</v>
      </c>
      <c r="B101" s="38">
        <v>5546000046</v>
      </c>
      <c r="C101" s="39" t="s">
        <v>116</v>
      </c>
      <c r="D101" s="8">
        <f t="shared" si="27"/>
        <v>76.53</v>
      </c>
      <c r="E101" s="8">
        <f t="shared" si="27"/>
        <v>439.85</v>
      </c>
      <c r="F101" s="7" t="str">
        <f t="shared" si="30"/>
        <v>-</v>
      </c>
      <c r="G101" s="7" t="str">
        <f t="shared" si="31"/>
        <v>B</v>
      </c>
      <c r="I101" s="6" t="str">
        <f>IF(OR($E$110=2,$E$110=4,$E$110=6,$E$110=8),$J$101-$E$111,"-")</f>
        <v>-</v>
      </c>
      <c r="J101" s="8" t="str">
        <f>IF(OR($E$110=2,$E$110=4,$E$110=6,$E$110=8),$I$100-0.01,"-")</f>
        <v>-</v>
      </c>
      <c r="K101" s="7" t="str">
        <f>IF($E$110=8,$T$97,IF($E$110=6,$T$96,IF($E$110=4,$T$95,IF($E$110=2,$T$94,"-"))))</f>
        <v>-</v>
      </c>
      <c r="L101" s="7" t="str">
        <f t="shared" si="28"/>
        <v>-</v>
      </c>
      <c r="M101" s="20">
        <f t="shared" si="32"/>
        <v>53.94</v>
      </c>
      <c r="N101" s="8">
        <f>IF(OR($E$110=3,$E$110=5,$E$110=7),$P$101-$E$111,"-")</f>
        <v>419.08</v>
      </c>
      <c r="O101" s="13"/>
      <c r="P101" s="8">
        <f>IF(OR($E$110=3,$E$110=5,$E$110=7),$N$100-0.01,"-")</f>
        <v>473.02</v>
      </c>
      <c r="Q101" s="7" t="str">
        <f>IF($E$110=7,$T$97,IF($E$110=5,$T$96,IF($E$110=3,$T$95,"-")))</f>
        <v>B</v>
      </c>
      <c r="R101" s="7">
        <f t="shared" si="29"/>
        <v>2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57</v>
      </c>
      <c r="B102" s="38">
        <v>5546000056</v>
      </c>
      <c r="C102" s="39" t="s">
        <v>117</v>
      </c>
      <c r="D102" s="8">
        <f t="shared" si="27"/>
        <v>80.59</v>
      </c>
      <c r="E102" s="8">
        <f t="shared" si="27"/>
        <v>505.93</v>
      </c>
      <c r="F102" s="7" t="str">
        <f t="shared" si="30"/>
        <v>-</v>
      </c>
      <c r="G102" s="7" t="str">
        <f t="shared" si="31"/>
        <v>B+</v>
      </c>
      <c r="I102" s="47" t="str">
        <f>IF(OR($E$110=4,$E$110=6,$E$110=8),$J$102-$E$111,"-")</f>
        <v>-</v>
      </c>
      <c r="J102" s="6" t="str">
        <f>IF(OR($E$110=8,$E$110=6,$E$110=4),$I$101-0.01,"-")</f>
        <v>-</v>
      </c>
      <c r="K102" s="7" t="str">
        <f>IF($E$110=8,$T$98,IF($E$110=6,$T$97,IF($E$110=4,$T$96,"-")))</f>
        <v>-</v>
      </c>
      <c r="L102" s="7" t="str">
        <f t="shared" si="28"/>
        <v>-</v>
      </c>
      <c r="M102" s="20" t="e">
        <f t="shared" si="32"/>
        <v>#VALUE!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>
        <f t="shared" si="29"/>
        <v>1</v>
      </c>
    </row>
    <row r="103" spans="1:20" ht="23" thickBot="1" x14ac:dyDescent="0.4">
      <c r="A103" s="6">
        <v>67</v>
      </c>
      <c r="B103" s="38">
        <v>5546000066</v>
      </c>
      <c r="C103" s="39" t="s">
        <v>118</v>
      </c>
      <c r="D103" s="8">
        <f t="shared" si="27"/>
        <v>83.4</v>
      </c>
      <c r="E103" s="8">
        <f t="shared" si="27"/>
        <v>570.92999999999995</v>
      </c>
      <c r="F103" s="7" t="str">
        <f t="shared" si="30"/>
        <v>-</v>
      </c>
      <c r="G103" s="7" t="str">
        <f t="shared" si="31"/>
        <v>A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 t="str">
        <f t="shared" si="28"/>
        <v>-</v>
      </c>
      <c r="M103" s="20" t="e">
        <f t="shared" si="32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>
        <f t="shared" si="29"/>
        <v>1</v>
      </c>
    </row>
    <row r="104" spans="1:20" ht="23" thickBot="1" x14ac:dyDescent="0.4">
      <c r="A104" s="6">
        <v>77</v>
      </c>
      <c r="B104" s="38">
        <v>5546000076</v>
      </c>
      <c r="C104" s="39" t="s">
        <v>119</v>
      </c>
      <c r="D104" s="8">
        <f>ROUND(SUM(E15,H15,K15,N15,Q15,E29,H29,K29,N29,Q29,E44,H44,K44,N44,Q44,E58,H58,K58,N58,Q58,E73,H73,K73,N73,Q73,E88,H88,K88,N88,Q88),2)</f>
        <v>74.7</v>
      </c>
      <c r="E104" s="8">
        <f>ROUND(SUM(F15,I15,L15,O15,R15,F29,I29,L29,O29,R29,F44,I44,L44,O44,R44,F58,I58,L58,O58,R58,F73,I73,L73,O73,R73,F88,I88,L88,O88,R88),2)</f>
        <v>430.4</v>
      </c>
      <c r="F104" s="7" t="str">
        <f t="shared" si="30"/>
        <v>-</v>
      </c>
      <c r="G104" s="7" t="str">
        <f t="shared" si="31"/>
        <v>B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 t="e">
        <f>IF(#REF!="-","-",COUNTIF($F$97:$F$104,K104))</f>
        <v>#REF!</v>
      </c>
      <c r="M104" s="20" t="e">
        <f t="shared" si="32"/>
        <v>#VALUE!</v>
      </c>
      <c r="N104" s="218" t="s">
        <v>1</v>
      </c>
      <c r="O104" s="219"/>
      <c r="P104" s="219"/>
      <c r="Q104" s="220"/>
      <c r="R104" s="33">
        <f>SUM($R$97:$R$103)</f>
        <v>10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 t="e">
        <f>SUM($L$97:$L$104)</f>
        <v>#REF!</v>
      </c>
    </row>
    <row r="106" spans="1:20" x14ac:dyDescent="0.35">
      <c r="C106" s="4" t="s">
        <v>13</v>
      </c>
      <c r="D106" s="37">
        <f>ROUND(AVERAGE($D$97:$D$104),2)</f>
        <v>79.599999999999994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84.48</v>
      </c>
      <c r="E107" s="37">
        <f>ROUND(MAX($E$97:$E$104),2)</f>
        <v>578.89</v>
      </c>
      <c r="I107" s="45"/>
      <c r="J107" s="45"/>
    </row>
    <row r="108" spans="1:20" x14ac:dyDescent="0.35">
      <c r="C108" s="4" t="s">
        <v>19</v>
      </c>
      <c r="D108" s="37">
        <f>ROUND(MIN($D$97:$D$104),2)</f>
        <v>73.989999999999995</v>
      </c>
      <c r="E108" s="37">
        <f>ROUND(MIN($E$97:$E$104),2)</f>
        <v>417.07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161.82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3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53.94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D33:F33"/>
    <mergeCell ref="A34:A36"/>
    <mergeCell ref="B34:B36"/>
    <mergeCell ref="C34:C36"/>
    <mergeCell ref="D34:F34"/>
    <mergeCell ref="G34:I34"/>
    <mergeCell ref="J34:L34"/>
    <mergeCell ref="M34:O34"/>
    <mergeCell ref="P34:R34"/>
    <mergeCell ref="M49:O49"/>
    <mergeCell ref="P49:R4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N104:Q104"/>
    <mergeCell ref="I105:K105"/>
    <mergeCell ref="N111:R111"/>
    <mergeCell ref="N112:R112"/>
    <mergeCell ref="N113:R113"/>
  </mergeCells>
  <pageMargins left="0.70866141732283472" right="0.70866141732283472" top="0.31496062992125984" bottom="0.19685039370078741" header="0.31496062992125984" footer="0.19685039370078741"/>
  <pageSetup paperSize="9" scale="79" orientation="landscape" r:id="rId1"/>
  <rowBreaks count="3" manualBreakCount="3">
    <brk id="32" max="16383" man="1"/>
    <brk id="62" max="17" man="1"/>
    <brk id="92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3"/>
  <sheetViews>
    <sheetView view="pageBreakPreview" topLeftCell="A44" zoomScale="90" zoomScaleNormal="90" zoomScaleSheetLayoutView="90" workbookViewId="0">
      <selection activeCell="F109" sqref="F109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120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7</v>
      </c>
      <c r="B8" s="38">
        <v>5546000006</v>
      </c>
      <c r="C8" s="39" t="s">
        <v>112</v>
      </c>
      <c r="D8" s="12">
        <v>63</v>
      </c>
      <c r="E8" s="8">
        <f>(D8*$E$7)/$D$7</f>
        <v>16.8</v>
      </c>
      <c r="F8" s="3">
        <f t="shared" ref="F8:F15" si="0">IF($D$17=0,50,(50+(10*(STANDARDIZE(D8,$D$16,$D$17)))))*$F$7</f>
        <v>117.86999358809477</v>
      </c>
      <c r="G8" s="12">
        <v>23</v>
      </c>
      <c r="H8" s="8">
        <f>(G8*$H$7)/$G$7</f>
        <v>7.666666666666667</v>
      </c>
      <c r="I8" s="3">
        <f t="shared" ref="I8:I15" si="1">IF($G$17=0,50,(50+(10*(STANDARDIZE(G8,$G$16,$G$17)))))*$I$7</f>
        <v>49.142507074287458</v>
      </c>
      <c r="J8" s="12">
        <v>42</v>
      </c>
      <c r="K8" s="8">
        <f>(J8*$K$7)/$J$7</f>
        <v>4.2</v>
      </c>
      <c r="L8" s="3">
        <f t="shared" ref="L8:L15" si="2">IF($J$17=0,50,(50+(10*(STANDARDIZE(J8,$J$16,$J$17)))))*$L$7</f>
        <v>26.356448771988106</v>
      </c>
      <c r="M8" s="12">
        <v>89</v>
      </c>
      <c r="N8" s="8">
        <f>(M8*$N$7)/$M$7</f>
        <v>8.9</v>
      </c>
      <c r="O8" s="3">
        <f t="shared" ref="O8:O15" si="3">IF($M$17=0,50,(50+(10*(STANDARDIZE(M8,$M$16,$M$17)))))*$O$7</f>
        <v>62.977713690461002</v>
      </c>
      <c r="P8" s="12">
        <v>39</v>
      </c>
      <c r="Q8" s="8">
        <f>(P8*$Q$7)/$P$7</f>
        <v>7.8</v>
      </c>
      <c r="R8" s="3">
        <f t="shared" ref="R8:R15" si="4">IF($P$17=0,50,(50+(10*(STANDARDIZE(P8,$P$16,$P$17)))))*$R$7</f>
        <v>52.975949479350035</v>
      </c>
    </row>
    <row r="9" spans="1:22" ht="22" x14ac:dyDescent="0.35">
      <c r="A9" s="6">
        <v>17</v>
      </c>
      <c r="B9" s="38">
        <v>5546000016</v>
      </c>
      <c r="C9" s="39" t="s">
        <v>113</v>
      </c>
      <c r="D9" s="58">
        <v>54</v>
      </c>
      <c r="E9" s="8">
        <f t="shared" ref="E9:E15" si="5">(D9*$E$7)/$D$7</f>
        <v>14.4</v>
      </c>
      <c r="F9" s="3">
        <f t="shared" si="0"/>
        <v>70.216677353175385</v>
      </c>
      <c r="G9" s="12">
        <v>24</v>
      </c>
      <c r="H9" s="8">
        <f t="shared" ref="H9:H15" si="6">(G9*$H$7)/$G$7</f>
        <v>8</v>
      </c>
      <c r="I9" s="3">
        <f t="shared" si="1"/>
        <v>56.002450479987807</v>
      </c>
      <c r="J9" s="12">
        <v>38</v>
      </c>
      <c r="K9" s="8">
        <f t="shared" ref="K9:K15" si="7">(J9*$K$7)/$J$7</f>
        <v>3.8</v>
      </c>
      <c r="L9" s="3">
        <f t="shared" si="2"/>
        <v>19.122055321384881</v>
      </c>
      <c r="M9" s="12">
        <v>75</v>
      </c>
      <c r="N9" s="8">
        <f t="shared" ref="N9:N15" si="8">(M9*$N$7)/$M$7</f>
        <v>7.5</v>
      </c>
      <c r="O9" s="3">
        <f t="shared" si="3"/>
        <v>40.266714732154249</v>
      </c>
      <c r="P9" s="12">
        <v>32</v>
      </c>
      <c r="Q9" s="8">
        <f t="shared" ref="Q9:Q15" si="9">(P9*$Q$7)/$P$7</f>
        <v>6.4</v>
      </c>
      <c r="R9" s="3">
        <f t="shared" si="4"/>
        <v>36.310632394989852</v>
      </c>
      <c r="V9" s="1" t="s">
        <v>2</v>
      </c>
    </row>
    <row r="10" spans="1:22" ht="22" x14ac:dyDescent="0.35">
      <c r="A10" s="6">
        <v>27</v>
      </c>
      <c r="B10" s="38">
        <v>5546000026</v>
      </c>
      <c r="C10" s="39" t="s">
        <v>114</v>
      </c>
      <c r="D10" s="12">
        <v>62</v>
      </c>
      <c r="E10" s="8">
        <f t="shared" si="5"/>
        <v>16.533333333333335</v>
      </c>
      <c r="F10" s="3">
        <f t="shared" si="0"/>
        <v>112.57518067310373</v>
      </c>
      <c r="G10" s="12">
        <v>24</v>
      </c>
      <c r="H10" s="8">
        <f t="shared" si="6"/>
        <v>8</v>
      </c>
      <c r="I10" s="3">
        <f t="shared" si="1"/>
        <v>56.002450479987807</v>
      </c>
      <c r="J10" s="12">
        <v>40</v>
      </c>
      <c r="K10" s="8">
        <f t="shared" si="7"/>
        <v>4</v>
      </c>
      <c r="L10" s="3">
        <f t="shared" si="2"/>
        <v>22.739252046686492</v>
      </c>
      <c r="M10" s="12">
        <v>80</v>
      </c>
      <c r="N10" s="8">
        <f t="shared" si="8"/>
        <v>8</v>
      </c>
      <c r="O10" s="3">
        <f t="shared" si="3"/>
        <v>48.377785788692371</v>
      </c>
      <c r="P10" s="12">
        <v>38</v>
      </c>
      <c r="Q10" s="8">
        <f t="shared" si="9"/>
        <v>7.6</v>
      </c>
      <c r="R10" s="3">
        <f t="shared" si="4"/>
        <v>50.595189895870007</v>
      </c>
    </row>
    <row r="11" spans="1:22" ht="22" x14ac:dyDescent="0.35">
      <c r="A11" s="6">
        <v>37</v>
      </c>
      <c r="B11" s="38">
        <v>5546000036</v>
      </c>
      <c r="C11" s="39" t="s">
        <v>115</v>
      </c>
      <c r="D11" s="12">
        <v>64</v>
      </c>
      <c r="E11" s="8">
        <f t="shared" si="5"/>
        <v>17.066666666666666</v>
      </c>
      <c r="F11" s="3">
        <f t="shared" si="0"/>
        <v>123.16480650308581</v>
      </c>
      <c r="G11" s="12">
        <v>25</v>
      </c>
      <c r="H11" s="8">
        <f t="shared" si="6"/>
        <v>8.3333333333333339</v>
      </c>
      <c r="I11" s="3">
        <f t="shared" si="1"/>
        <v>62.862393885688164</v>
      </c>
      <c r="J11" s="12">
        <v>45</v>
      </c>
      <c r="K11" s="8">
        <f t="shared" si="7"/>
        <v>4.5</v>
      </c>
      <c r="L11" s="3">
        <f t="shared" si="2"/>
        <v>31.782243859940522</v>
      </c>
      <c r="M11" s="12">
        <v>88</v>
      </c>
      <c r="N11" s="8">
        <f t="shared" si="8"/>
        <v>8.8000000000000007</v>
      </c>
      <c r="O11" s="3">
        <f t="shared" si="3"/>
        <v>61.35549947915338</v>
      </c>
      <c r="P11" s="12">
        <v>44</v>
      </c>
      <c r="Q11" s="8">
        <f t="shared" si="9"/>
        <v>8.8000000000000007</v>
      </c>
      <c r="R11" s="3">
        <f t="shared" si="4"/>
        <v>64.879747396750162</v>
      </c>
      <c r="V11" s="1" t="s">
        <v>2</v>
      </c>
    </row>
    <row r="12" spans="1:22" ht="22" x14ac:dyDescent="0.35">
      <c r="A12" s="6">
        <v>47</v>
      </c>
      <c r="B12" s="38">
        <v>5546000046</v>
      </c>
      <c r="C12" s="39" t="s">
        <v>116</v>
      </c>
      <c r="D12" s="12">
        <v>56</v>
      </c>
      <c r="E12" s="8">
        <f t="shared" si="5"/>
        <v>14.933333333333334</v>
      </c>
      <c r="F12" s="3">
        <f t="shared" si="0"/>
        <v>80.806303183157468</v>
      </c>
      <c r="G12" s="12">
        <v>21</v>
      </c>
      <c r="H12" s="8">
        <f t="shared" si="6"/>
        <v>7</v>
      </c>
      <c r="I12" s="3">
        <f t="shared" si="1"/>
        <v>35.422620262886753</v>
      </c>
      <c r="J12" s="12">
        <v>40</v>
      </c>
      <c r="K12" s="8">
        <f t="shared" si="7"/>
        <v>4</v>
      </c>
      <c r="L12" s="3">
        <f t="shared" si="2"/>
        <v>22.739252046686492</v>
      </c>
      <c r="M12" s="12">
        <v>78</v>
      </c>
      <c r="N12" s="8">
        <f t="shared" si="8"/>
        <v>7.8</v>
      </c>
      <c r="O12" s="3">
        <f t="shared" si="3"/>
        <v>45.133357366077121</v>
      </c>
      <c r="P12" s="12">
        <v>35</v>
      </c>
      <c r="Q12" s="8">
        <f t="shared" si="9"/>
        <v>7</v>
      </c>
      <c r="R12" s="3">
        <f t="shared" si="4"/>
        <v>43.45291114542993</v>
      </c>
    </row>
    <row r="13" spans="1:22" ht="22" x14ac:dyDescent="0.35">
      <c r="A13" s="6">
        <v>57</v>
      </c>
      <c r="B13" s="38">
        <v>5546000056</v>
      </c>
      <c r="C13" s="39" t="s">
        <v>117</v>
      </c>
      <c r="D13" s="12">
        <v>60</v>
      </c>
      <c r="E13" s="8">
        <f t="shared" si="5"/>
        <v>16</v>
      </c>
      <c r="F13" s="3">
        <f t="shared" si="0"/>
        <v>101.98555484312165</v>
      </c>
      <c r="G13" s="12">
        <v>23</v>
      </c>
      <c r="H13" s="8">
        <f t="shared" si="6"/>
        <v>7.666666666666667</v>
      </c>
      <c r="I13" s="3">
        <f t="shared" si="1"/>
        <v>49.142507074287458</v>
      </c>
      <c r="J13" s="12">
        <v>42</v>
      </c>
      <c r="K13" s="8">
        <f t="shared" si="7"/>
        <v>4.2</v>
      </c>
      <c r="L13" s="3">
        <f t="shared" si="2"/>
        <v>26.356448771988106</v>
      </c>
      <c r="M13" s="12">
        <v>80</v>
      </c>
      <c r="N13" s="8">
        <f t="shared" si="8"/>
        <v>8</v>
      </c>
      <c r="O13" s="3">
        <f t="shared" si="3"/>
        <v>48.377785788692371</v>
      </c>
      <c r="P13" s="12">
        <v>39</v>
      </c>
      <c r="Q13" s="8">
        <f t="shared" si="9"/>
        <v>7.8</v>
      </c>
      <c r="R13" s="3">
        <f t="shared" si="4"/>
        <v>52.975949479350035</v>
      </c>
    </row>
    <row r="14" spans="1:22" ht="22" x14ac:dyDescent="0.35">
      <c r="A14" s="6">
        <v>67</v>
      </c>
      <c r="B14" s="38">
        <v>5546000066</v>
      </c>
      <c r="C14" s="39" t="s">
        <v>118</v>
      </c>
      <c r="D14" s="12">
        <v>62</v>
      </c>
      <c r="E14" s="8">
        <f t="shared" si="5"/>
        <v>16.533333333333335</v>
      </c>
      <c r="F14" s="3">
        <f t="shared" si="0"/>
        <v>112.57518067310373</v>
      </c>
      <c r="G14" s="12">
        <v>24</v>
      </c>
      <c r="H14" s="8">
        <f t="shared" si="6"/>
        <v>8</v>
      </c>
      <c r="I14" s="3">
        <f t="shared" si="1"/>
        <v>56.002450479987807</v>
      </c>
      <c r="J14" s="12">
        <v>45</v>
      </c>
      <c r="K14" s="8">
        <f t="shared" si="7"/>
        <v>4.5</v>
      </c>
      <c r="L14" s="3">
        <f t="shared" si="2"/>
        <v>31.782243859940522</v>
      </c>
      <c r="M14" s="12">
        <v>86</v>
      </c>
      <c r="N14" s="8">
        <f t="shared" si="8"/>
        <v>8.6</v>
      </c>
      <c r="O14" s="3">
        <f t="shared" si="3"/>
        <v>58.11107105653813</v>
      </c>
      <c r="P14" s="12">
        <v>42</v>
      </c>
      <c r="Q14" s="8">
        <f t="shared" si="9"/>
        <v>8.4</v>
      </c>
      <c r="R14" s="3">
        <f t="shared" si="4"/>
        <v>60.118228229790105</v>
      </c>
    </row>
    <row r="15" spans="1:22" ht="22" x14ac:dyDescent="0.35">
      <c r="A15" s="6">
        <v>77</v>
      </c>
      <c r="B15" s="38">
        <v>5546000076</v>
      </c>
      <c r="C15" s="39" t="s">
        <v>119</v>
      </c>
      <c r="D15" s="12">
        <v>56</v>
      </c>
      <c r="E15" s="8">
        <f t="shared" si="5"/>
        <v>14.933333333333334</v>
      </c>
      <c r="F15" s="3">
        <f t="shared" si="0"/>
        <v>80.806303183157468</v>
      </c>
      <c r="G15" s="12">
        <v>21</v>
      </c>
      <c r="H15" s="8">
        <f t="shared" si="6"/>
        <v>7</v>
      </c>
      <c r="I15" s="3">
        <f t="shared" si="1"/>
        <v>35.422620262886753</v>
      </c>
      <c r="J15" s="12">
        <v>38</v>
      </c>
      <c r="K15" s="8">
        <f t="shared" si="7"/>
        <v>3.8</v>
      </c>
      <c r="L15" s="3">
        <f t="shared" si="2"/>
        <v>19.122055321384881</v>
      </c>
      <c r="M15" s="12">
        <v>72</v>
      </c>
      <c r="N15" s="8">
        <f t="shared" si="8"/>
        <v>7.2</v>
      </c>
      <c r="O15" s="3">
        <f t="shared" si="3"/>
        <v>35.400072098231369</v>
      </c>
      <c r="P15" s="12">
        <v>33</v>
      </c>
      <c r="Q15" s="8">
        <f t="shared" si="9"/>
        <v>6.6</v>
      </c>
      <c r="R15" s="3">
        <f t="shared" si="4"/>
        <v>38.691391978469881</v>
      </c>
    </row>
    <row r="16" spans="1:22" ht="18" customHeight="1" x14ac:dyDescent="0.35">
      <c r="C16" s="42" t="s">
        <v>13</v>
      </c>
      <c r="D16" s="9">
        <f>AVERAGE($D$8:$D$15)</f>
        <v>59.625</v>
      </c>
      <c r="E16" s="2"/>
      <c r="F16" s="2"/>
      <c r="G16" s="9">
        <f>AVERAGE($G$8:$G$15)</f>
        <v>23.125</v>
      </c>
      <c r="J16" s="9">
        <f>AVERAGE($J$8:$J$15)</f>
        <v>41.25</v>
      </c>
      <c r="M16" s="9">
        <f>AVERAGE($M$8:$M$15)</f>
        <v>81</v>
      </c>
      <c r="P16" s="9">
        <f>AVERAGE($P$8:$P$15)</f>
        <v>37.75</v>
      </c>
    </row>
    <row r="17" spans="1:19" ht="18" customHeight="1" x14ac:dyDescent="0.35">
      <c r="C17" s="42" t="s">
        <v>14</v>
      </c>
      <c r="D17" s="9">
        <f>STDEV($D$8:$D$15)</f>
        <v>3.7772817134623602</v>
      </c>
      <c r="E17" s="2"/>
      <c r="F17" s="2"/>
      <c r="G17" s="9">
        <f>STDEV($G$8:$G$15)</f>
        <v>1.4577379737113252</v>
      </c>
      <c r="J17" s="9">
        <f>STDEV($J$8:$J$15)</f>
        <v>2.7645717829090897</v>
      </c>
      <c r="M17" s="9">
        <f>STDEV(M8:M15)</f>
        <v>6.164414002968976</v>
      </c>
      <c r="P17" s="9">
        <f>STDEV(P8:P15)</f>
        <v>4.2003401222826158</v>
      </c>
    </row>
    <row r="18" spans="1:19" ht="18" customHeight="1" x14ac:dyDescent="0.35">
      <c r="C18" s="42"/>
      <c r="D18" s="206" t="s">
        <v>121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7</v>
      </c>
      <c r="B22" s="38">
        <v>5546000006</v>
      </c>
      <c r="C22" s="39" t="s">
        <v>112</v>
      </c>
      <c r="D22" s="12">
        <v>43</v>
      </c>
      <c r="E22" s="8">
        <f>(D22*$E$21)/$D$21</f>
        <v>4.3</v>
      </c>
      <c r="F22" s="3">
        <f t="shared" ref="F22:F29" si="10">IF($D$31=0,50,(50+(10*(STANDARDIZE(D22,$D$30,$D$31)))))*$F$21</f>
        <v>31.912683572590119</v>
      </c>
      <c r="G22" s="12">
        <v>34</v>
      </c>
      <c r="H22" s="8">
        <f>(G22*$H$21)/$G$21</f>
        <v>4.25</v>
      </c>
      <c r="I22" s="3">
        <f t="shared" ref="I22:I29" si="11">IF($G$31=0,50,(50+(10*(STANDARDIZE(G22,$G$30,$G$31)))))*$I$21</f>
        <v>25</v>
      </c>
      <c r="J22" s="12">
        <v>41</v>
      </c>
      <c r="K22" s="8">
        <f>(J22*$K$21)/$J$21</f>
        <v>4.0999999999999996</v>
      </c>
      <c r="L22" s="3">
        <f t="shared" ref="L22:L29" si="12">IF($J$31=0,50,(50+(10*(STANDARDIZE(J22,$J$30,$J$31)))))*$L$21</f>
        <v>25</v>
      </c>
      <c r="M22" s="12">
        <v>31</v>
      </c>
      <c r="N22" s="8">
        <f>(M22*$N$21)/$M$21</f>
        <v>3.875</v>
      </c>
      <c r="O22" s="3">
        <f t="shared" ref="O22:O29" si="13">IF($M$31=0,50,(50+(10*(STANDARDIZE(M22,$M$30,$M$31)))))*$O$21</f>
        <v>25</v>
      </c>
      <c r="P22" s="12">
        <v>56</v>
      </c>
      <c r="Q22" s="8">
        <f>(P22*$Q$21)/$P$21</f>
        <v>8</v>
      </c>
      <c r="R22" s="3">
        <f t="shared" ref="R22:R29" si="14">IF($P$31=0,50,(50+(10*(STANDARDIZE(P22,$P$30,$P$31)))))*$R$21</f>
        <v>40.998971252211305</v>
      </c>
    </row>
    <row r="23" spans="1:19" ht="22" x14ac:dyDescent="0.35">
      <c r="A23" s="6">
        <v>17</v>
      </c>
      <c r="B23" s="38">
        <v>5546000016</v>
      </c>
      <c r="C23" s="39" t="s">
        <v>113</v>
      </c>
      <c r="D23" s="12">
        <v>40</v>
      </c>
      <c r="E23" s="8">
        <f t="shared" ref="E23:E29" si="15">(D23*$E$21)/$D$21</f>
        <v>4</v>
      </c>
      <c r="F23" s="3">
        <f t="shared" si="10"/>
        <v>20.852389856445928</v>
      </c>
      <c r="G23" s="12">
        <v>34</v>
      </c>
      <c r="H23" s="8">
        <f t="shared" ref="H23:H29" si="16">(G23*$H$21)/$G$21</f>
        <v>4.25</v>
      </c>
      <c r="I23" s="3">
        <f t="shared" si="11"/>
        <v>25</v>
      </c>
      <c r="J23" s="12">
        <v>41</v>
      </c>
      <c r="K23" s="8">
        <f t="shared" ref="K23:K29" si="17">(J23*$K$21)/$J$21</f>
        <v>4.0999999999999996</v>
      </c>
      <c r="L23" s="3">
        <f t="shared" si="12"/>
        <v>25</v>
      </c>
      <c r="M23" s="12">
        <v>31</v>
      </c>
      <c r="N23" s="8">
        <f t="shared" ref="N23:N29" si="18">(M23*$N$21)/$M$21</f>
        <v>3.875</v>
      </c>
      <c r="O23" s="3">
        <f t="shared" si="13"/>
        <v>25</v>
      </c>
      <c r="P23" s="12">
        <v>58</v>
      </c>
      <c r="Q23" s="8">
        <f t="shared" ref="Q23:Q29" si="19">(P23*$Q$21)/$P$21</f>
        <v>8.2857142857142865</v>
      </c>
      <c r="R23" s="3">
        <f t="shared" si="14"/>
        <v>55.400617248673214</v>
      </c>
    </row>
    <row r="24" spans="1:19" ht="22" x14ac:dyDescent="0.35">
      <c r="A24" s="6">
        <v>27</v>
      </c>
      <c r="B24" s="38">
        <v>5546000026</v>
      </c>
      <c r="C24" s="39" t="s">
        <v>114</v>
      </c>
      <c r="D24" s="12">
        <v>42</v>
      </c>
      <c r="E24" s="8">
        <f t="shared" si="15"/>
        <v>4.2</v>
      </c>
      <c r="F24" s="3">
        <f t="shared" si="10"/>
        <v>28.225919000542056</v>
      </c>
      <c r="G24" s="12">
        <v>34</v>
      </c>
      <c r="H24" s="8">
        <f t="shared" si="16"/>
        <v>4.25</v>
      </c>
      <c r="I24" s="3">
        <f t="shared" si="11"/>
        <v>25</v>
      </c>
      <c r="J24" s="12">
        <v>41</v>
      </c>
      <c r="K24" s="8">
        <f t="shared" si="17"/>
        <v>4.0999999999999996</v>
      </c>
      <c r="L24" s="3">
        <f t="shared" si="12"/>
        <v>25</v>
      </c>
      <c r="M24" s="12">
        <v>31</v>
      </c>
      <c r="N24" s="8">
        <f t="shared" si="18"/>
        <v>3.875</v>
      </c>
      <c r="O24" s="3">
        <f t="shared" si="13"/>
        <v>25</v>
      </c>
      <c r="P24" s="12">
        <v>56</v>
      </c>
      <c r="Q24" s="8">
        <f t="shared" si="19"/>
        <v>8</v>
      </c>
      <c r="R24" s="3">
        <f t="shared" si="14"/>
        <v>40.998971252211305</v>
      </c>
    </row>
    <row r="25" spans="1:19" ht="22" x14ac:dyDescent="0.35">
      <c r="A25" s="6">
        <v>37</v>
      </c>
      <c r="B25" s="38">
        <v>5546000036</v>
      </c>
      <c r="C25" s="39" t="s">
        <v>115</v>
      </c>
      <c r="D25" s="12">
        <v>42</v>
      </c>
      <c r="E25" s="8">
        <f t="shared" si="15"/>
        <v>4.2</v>
      </c>
      <c r="F25" s="3">
        <f t="shared" si="10"/>
        <v>28.225919000542056</v>
      </c>
      <c r="G25" s="12">
        <v>34</v>
      </c>
      <c r="H25" s="8">
        <f t="shared" si="16"/>
        <v>4.25</v>
      </c>
      <c r="I25" s="3">
        <f t="shared" si="11"/>
        <v>25</v>
      </c>
      <c r="J25" s="12">
        <v>41</v>
      </c>
      <c r="K25" s="8">
        <f t="shared" si="17"/>
        <v>4.0999999999999996</v>
      </c>
      <c r="L25" s="3">
        <f t="shared" si="12"/>
        <v>25</v>
      </c>
      <c r="M25" s="12">
        <v>31</v>
      </c>
      <c r="N25" s="8">
        <f t="shared" si="18"/>
        <v>3.875</v>
      </c>
      <c r="O25" s="3">
        <f t="shared" si="13"/>
        <v>25</v>
      </c>
      <c r="P25" s="12">
        <v>58</v>
      </c>
      <c r="Q25" s="8">
        <f t="shared" si="19"/>
        <v>8.2857142857142865</v>
      </c>
      <c r="R25" s="3">
        <f t="shared" si="14"/>
        <v>55.400617248673214</v>
      </c>
    </row>
    <row r="26" spans="1:19" ht="22" x14ac:dyDescent="0.35">
      <c r="A26" s="6">
        <v>47</v>
      </c>
      <c r="B26" s="38">
        <v>5546000046</v>
      </c>
      <c r="C26" s="39" t="s">
        <v>116</v>
      </c>
      <c r="D26" s="12">
        <v>39</v>
      </c>
      <c r="E26" s="8">
        <f t="shared" si="15"/>
        <v>3.9</v>
      </c>
      <c r="F26" s="3">
        <f t="shared" si="10"/>
        <v>17.165625284397866</v>
      </c>
      <c r="G26" s="12">
        <v>34</v>
      </c>
      <c r="H26" s="8">
        <f t="shared" si="16"/>
        <v>4.25</v>
      </c>
      <c r="I26" s="3">
        <f t="shared" si="11"/>
        <v>25</v>
      </c>
      <c r="J26" s="12">
        <v>41</v>
      </c>
      <c r="K26" s="8">
        <f t="shared" si="17"/>
        <v>4.0999999999999996</v>
      </c>
      <c r="L26" s="3">
        <f t="shared" si="12"/>
        <v>25</v>
      </c>
      <c r="M26" s="12">
        <v>31</v>
      </c>
      <c r="N26" s="8">
        <f t="shared" si="18"/>
        <v>3.875</v>
      </c>
      <c r="O26" s="3">
        <f t="shared" si="13"/>
        <v>25</v>
      </c>
      <c r="P26" s="12">
        <v>56</v>
      </c>
      <c r="Q26" s="8">
        <f t="shared" si="19"/>
        <v>8</v>
      </c>
      <c r="R26" s="3">
        <f t="shared" si="14"/>
        <v>40.998971252211305</v>
      </c>
    </row>
    <row r="27" spans="1:19" ht="22" x14ac:dyDescent="0.35">
      <c r="A27" s="6">
        <v>57</v>
      </c>
      <c r="B27" s="38">
        <v>5546000056</v>
      </c>
      <c r="C27" s="39" t="s">
        <v>117</v>
      </c>
      <c r="D27" s="12">
        <v>41</v>
      </c>
      <c r="E27" s="8">
        <f t="shared" si="15"/>
        <v>4.0999999999999996</v>
      </c>
      <c r="F27" s="3">
        <f t="shared" si="10"/>
        <v>24.53915442849399</v>
      </c>
      <c r="G27" s="12">
        <v>34</v>
      </c>
      <c r="H27" s="8">
        <f t="shared" si="16"/>
        <v>4.25</v>
      </c>
      <c r="I27" s="3">
        <f t="shared" si="11"/>
        <v>25</v>
      </c>
      <c r="J27" s="12">
        <v>41</v>
      </c>
      <c r="K27" s="8">
        <f t="shared" si="17"/>
        <v>4.0999999999999996</v>
      </c>
      <c r="L27" s="3">
        <f t="shared" si="12"/>
        <v>25</v>
      </c>
      <c r="M27" s="12">
        <v>31</v>
      </c>
      <c r="N27" s="8">
        <f t="shared" si="18"/>
        <v>3.875</v>
      </c>
      <c r="O27" s="3">
        <f t="shared" si="13"/>
        <v>25</v>
      </c>
      <c r="P27" s="12">
        <v>56</v>
      </c>
      <c r="Q27" s="8">
        <f t="shared" si="19"/>
        <v>8</v>
      </c>
      <c r="R27" s="3">
        <f t="shared" si="14"/>
        <v>40.998971252211305</v>
      </c>
    </row>
    <row r="28" spans="1:19" ht="22" x14ac:dyDescent="0.35">
      <c r="A28" s="6">
        <v>67</v>
      </c>
      <c r="B28" s="38">
        <v>5546000066</v>
      </c>
      <c r="C28" s="39" t="s">
        <v>118</v>
      </c>
      <c r="D28" s="12">
        <v>42</v>
      </c>
      <c r="E28" s="8">
        <f t="shared" si="15"/>
        <v>4.2</v>
      </c>
      <c r="F28" s="3">
        <f t="shared" si="10"/>
        <v>28.225919000542056</v>
      </c>
      <c r="G28" s="12">
        <v>34</v>
      </c>
      <c r="H28" s="8">
        <f t="shared" si="16"/>
        <v>4.25</v>
      </c>
      <c r="I28" s="3">
        <f t="shared" si="11"/>
        <v>25</v>
      </c>
      <c r="J28" s="12">
        <v>41</v>
      </c>
      <c r="K28" s="8">
        <f t="shared" si="17"/>
        <v>4.0999999999999996</v>
      </c>
      <c r="L28" s="3">
        <f t="shared" si="12"/>
        <v>25</v>
      </c>
      <c r="M28" s="12">
        <v>31</v>
      </c>
      <c r="N28" s="8">
        <f t="shared" si="18"/>
        <v>3.875</v>
      </c>
      <c r="O28" s="3">
        <f t="shared" si="13"/>
        <v>25</v>
      </c>
      <c r="P28" s="12">
        <v>59</v>
      </c>
      <c r="Q28" s="8">
        <f t="shared" si="19"/>
        <v>8.4285714285714288</v>
      </c>
      <c r="R28" s="3">
        <f t="shared" si="14"/>
        <v>62.601440246904176</v>
      </c>
    </row>
    <row r="29" spans="1:19" ht="22" x14ac:dyDescent="0.35">
      <c r="A29" s="6">
        <v>77</v>
      </c>
      <c r="B29" s="38">
        <v>5546000076</v>
      </c>
      <c r="C29" s="39" t="s">
        <v>119</v>
      </c>
      <c r="D29" s="12">
        <v>40</v>
      </c>
      <c r="E29" s="8">
        <f t="shared" si="15"/>
        <v>4</v>
      </c>
      <c r="F29" s="3">
        <f t="shared" si="10"/>
        <v>20.852389856445928</v>
      </c>
      <c r="G29" s="12">
        <v>34</v>
      </c>
      <c r="H29" s="8">
        <f t="shared" si="16"/>
        <v>4.25</v>
      </c>
      <c r="I29" s="3">
        <f t="shared" si="11"/>
        <v>25</v>
      </c>
      <c r="J29" s="12">
        <v>41</v>
      </c>
      <c r="K29" s="8">
        <f t="shared" si="17"/>
        <v>4.0999999999999996</v>
      </c>
      <c r="L29" s="3">
        <f t="shared" si="12"/>
        <v>25</v>
      </c>
      <c r="M29" s="12">
        <v>31</v>
      </c>
      <c r="N29" s="8">
        <f t="shared" si="18"/>
        <v>3.875</v>
      </c>
      <c r="O29" s="3">
        <f t="shared" si="13"/>
        <v>25</v>
      </c>
      <c r="P29" s="12">
        <v>59</v>
      </c>
      <c r="Q29" s="8">
        <f t="shared" si="19"/>
        <v>8.4285714285714288</v>
      </c>
      <c r="R29" s="3">
        <f t="shared" si="14"/>
        <v>62.601440246904176</v>
      </c>
    </row>
    <row r="30" spans="1:19" x14ac:dyDescent="0.35">
      <c r="C30" s="42" t="s">
        <v>13</v>
      </c>
      <c r="D30" s="9">
        <f>AVERAGE($D$22:$D$29)</f>
        <v>41.125</v>
      </c>
      <c r="G30" s="9">
        <f>AVERAGE($G$22:$G$29)</f>
        <v>34</v>
      </c>
      <c r="J30" s="9">
        <f>AVERAGE($J$22:$J$29)</f>
        <v>41</v>
      </c>
      <c r="M30" s="9">
        <f>AVERAGE($M$22:$M$29)</f>
        <v>31</v>
      </c>
      <c r="P30" s="9">
        <f>AVERAGE($P$22:$P$29)</f>
        <v>57.25</v>
      </c>
    </row>
    <row r="31" spans="1:19" x14ac:dyDescent="0.35">
      <c r="C31" s="42" t="s">
        <v>14</v>
      </c>
      <c r="D31" s="9">
        <f>STDEV($D$22:$D$29)</f>
        <v>1.3562026818605375</v>
      </c>
      <c r="F31" s="5"/>
      <c r="G31" s="9">
        <f>STDEV($G$22:$G$29)</f>
        <v>0</v>
      </c>
      <c r="J31" s="9">
        <f>STDEV($J$22:$J$29)</f>
        <v>0</v>
      </c>
      <c r="L31" s="5"/>
      <c r="M31" s="9">
        <f>STDEV($M$22:$M$29)</f>
        <v>0</v>
      </c>
      <c r="P31" s="9">
        <f>STDEV($P$22:$P$29)</f>
        <v>1.3887301496588271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99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7</v>
      </c>
      <c r="B37" s="38">
        <v>5546000006</v>
      </c>
      <c r="C37" s="39" t="s">
        <v>112</v>
      </c>
      <c r="D37" s="12">
        <v>26</v>
      </c>
      <c r="E37" s="8">
        <f>(D37*$E$36)/$D$36</f>
        <v>4.333333333333333</v>
      </c>
      <c r="F37" s="3">
        <f t="shared" ref="F37:F44" si="20">IF($D$46=0,50,(50+(10*(STANDARDIZE(D37,$D$45,$D$46)))))*$F$36</f>
        <v>31.0380736442456</v>
      </c>
      <c r="G37" s="12">
        <v>45</v>
      </c>
      <c r="H37" s="8">
        <f>(G37*$H$36)/$G$36</f>
        <v>4.5</v>
      </c>
      <c r="I37" s="3">
        <f t="shared" ref="I37:I44" si="21">IF($G$46=0,50,(50+(10*(STANDARDIZE(G37,$G$45,$G$46)))))*$I$36</f>
        <v>27.601310558895605</v>
      </c>
      <c r="J37" s="12">
        <v>40</v>
      </c>
      <c r="K37" s="8">
        <f>(J37*$K$36)/$J$36</f>
        <v>3.3333333333333335</v>
      </c>
      <c r="L37" s="3">
        <f t="shared" ref="L37:L44" si="22">IF($J$46=0,50,(50+(10*(STANDARDIZE(J37,$J$45,$J$46)))))*$L$36</f>
        <v>23.940851817829596</v>
      </c>
      <c r="M37" s="9"/>
      <c r="N37" s="19"/>
      <c r="O37" s="9"/>
      <c r="P37" s="2"/>
      <c r="Q37" s="19"/>
      <c r="R37" s="9"/>
    </row>
    <row r="38" spans="1:22" ht="22" x14ac:dyDescent="0.35">
      <c r="A38" s="6">
        <v>17</v>
      </c>
      <c r="B38" s="38">
        <v>5546000016</v>
      </c>
      <c r="C38" s="39" t="s">
        <v>113</v>
      </c>
      <c r="D38" s="12">
        <v>23</v>
      </c>
      <c r="E38" s="8">
        <f t="shared" ref="E38:E44" si="23">(D38*$E$36)/$D$36</f>
        <v>3.8333333333333335</v>
      </c>
      <c r="F38" s="3">
        <f t="shared" si="20"/>
        <v>16.546696898056162</v>
      </c>
      <c r="G38" s="12">
        <v>36</v>
      </c>
      <c r="H38" s="8">
        <f t="shared" ref="H38:H44" si="24">(G38*$H$36)/$G$36</f>
        <v>3.6</v>
      </c>
      <c r="I38" s="3">
        <f t="shared" si="21"/>
        <v>17.743712651501731</v>
      </c>
      <c r="J38" s="12">
        <v>33</v>
      </c>
      <c r="K38" s="8">
        <f t="shared" ref="K38:K44" si="25">(J38*$K$36)/$J$36</f>
        <v>2.75</v>
      </c>
      <c r="L38" s="3">
        <f t="shared" si="22"/>
        <v>16.526814542636764</v>
      </c>
      <c r="M38" s="9"/>
      <c r="N38" s="19"/>
      <c r="O38" s="9"/>
      <c r="P38" s="2"/>
      <c r="Q38" s="19"/>
      <c r="R38" s="9"/>
    </row>
    <row r="39" spans="1:22" ht="22" x14ac:dyDescent="0.35">
      <c r="A39" s="6">
        <v>27</v>
      </c>
      <c r="B39" s="38">
        <v>5546000026</v>
      </c>
      <c r="C39" s="39" t="s">
        <v>114</v>
      </c>
      <c r="D39" s="12">
        <v>25</v>
      </c>
      <c r="E39" s="8">
        <f t="shared" si="23"/>
        <v>4.166666666666667</v>
      </c>
      <c r="F39" s="3">
        <f t="shared" si="20"/>
        <v>26.207614728849119</v>
      </c>
      <c r="G39" s="12">
        <v>46</v>
      </c>
      <c r="H39" s="8">
        <f t="shared" si="24"/>
        <v>4.5999999999999996</v>
      </c>
      <c r="I39" s="3">
        <f t="shared" si="21"/>
        <v>28.696599215272702</v>
      </c>
      <c r="J39" s="12">
        <v>45</v>
      </c>
      <c r="K39" s="8">
        <f t="shared" si="25"/>
        <v>3.75</v>
      </c>
      <c r="L39" s="3">
        <f t="shared" si="22"/>
        <v>29.236592728681618</v>
      </c>
      <c r="M39" s="9"/>
      <c r="N39" s="19"/>
      <c r="O39" s="9"/>
      <c r="P39" s="2"/>
      <c r="Q39" s="19"/>
      <c r="R39" s="9"/>
    </row>
    <row r="40" spans="1:22" ht="22" x14ac:dyDescent="0.35">
      <c r="A40" s="6">
        <v>37</v>
      </c>
      <c r="B40" s="38">
        <v>5546000036</v>
      </c>
      <c r="C40" s="39" t="s">
        <v>115</v>
      </c>
      <c r="D40" s="12">
        <v>24</v>
      </c>
      <c r="E40" s="8">
        <f t="shared" si="23"/>
        <v>4</v>
      </c>
      <c r="F40" s="3">
        <f t="shared" si="20"/>
        <v>21.377155813452639</v>
      </c>
      <c r="G40" s="12">
        <v>46</v>
      </c>
      <c r="H40" s="8">
        <f t="shared" si="24"/>
        <v>4.5999999999999996</v>
      </c>
      <c r="I40" s="3">
        <f t="shared" si="21"/>
        <v>28.696599215272702</v>
      </c>
      <c r="J40" s="12">
        <v>44</v>
      </c>
      <c r="K40" s="8">
        <f t="shared" si="25"/>
        <v>3.6666666666666665</v>
      </c>
      <c r="L40" s="3">
        <f t="shared" si="22"/>
        <v>28.177444546511211</v>
      </c>
      <c r="M40" s="9"/>
      <c r="N40" s="19"/>
      <c r="O40" s="9"/>
      <c r="P40" s="2"/>
      <c r="Q40" s="19"/>
      <c r="R40" s="9"/>
    </row>
    <row r="41" spans="1:22" ht="22" x14ac:dyDescent="0.35">
      <c r="A41" s="6">
        <v>47</v>
      </c>
      <c r="B41" s="38">
        <v>5546000046</v>
      </c>
      <c r="C41" s="39" t="s">
        <v>116</v>
      </c>
      <c r="D41" s="12">
        <v>25</v>
      </c>
      <c r="E41" s="8">
        <f t="shared" si="23"/>
        <v>4.166666666666667</v>
      </c>
      <c r="F41" s="3">
        <f t="shared" si="20"/>
        <v>26.207614728849119</v>
      </c>
      <c r="G41" s="12">
        <v>40</v>
      </c>
      <c r="H41" s="8">
        <f t="shared" si="24"/>
        <v>4</v>
      </c>
      <c r="I41" s="3">
        <f t="shared" si="21"/>
        <v>22.124867277010122</v>
      </c>
      <c r="J41" s="12">
        <v>42</v>
      </c>
      <c r="K41" s="8">
        <f t="shared" si="25"/>
        <v>3.5</v>
      </c>
      <c r="L41" s="3">
        <f t="shared" si="22"/>
        <v>26.059148182170404</v>
      </c>
      <c r="M41" s="9"/>
      <c r="N41" s="19"/>
      <c r="O41" s="9"/>
      <c r="P41" s="2"/>
      <c r="Q41" s="19"/>
      <c r="R41" s="9"/>
    </row>
    <row r="42" spans="1:22" ht="22" x14ac:dyDescent="0.35">
      <c r="A42" s="6">
        <v>57</v>
      </c>
      <c r="B42" s="38">
        <v>5546000056</v>
      </c>
      <c r="C42" s="39" t="s">
        <v>117</v>
      </c>
      <c r="D42" s="12">
        <v>25</v>
      </c>
      <c r="E42" s="8">
        <f t="shared" si="23"/>
        <v>4.166666666666667</v>
      </c>
      <c r="F42" s="3">
        <f t="shared" si="20"/>
        <v>26.207614728849119</v>
      </c>
      <c r="G42" s="12">
        <v>46</v>
      </c>
      <c r="H42" s="8">
        <f t="shared" si="24"/>
        <v>4.5999999999999996</v>
      </c>
      <c r="I42" s="3">
        <f t="shared" si="21"/>
        <v>28.696599215272702</v>
      </c>
      <c r="J42" s="12">
        <v>46</v>
      </c>
      <c r="K42" s="8">
        <f t="shared" si="25"/>
        <v>3.8333333333333335</v>
      </c>
      <c r="L42" s="3">
        <f t="shared" si="22"/>
        <v>30.295740910852022</v>
      </c>
      <c r="M42" s="9"/>
      <c r="N42" s="19"/>
      <c r="O42" s="9"/>
      <c r="P42" s="2"/>
      <c r="Q42" s="19"/>
      <c r="R42" s="9"/>
    </row>
    <row r="43" spans="1:22" ht="22" x14ac:dyDescent="0.35">
      <c r="A43" s="6">
        <v>67</v>
      </c>
      <c r="B43" s="38">
        <v>5546000066</v>
      </c>
      <c r="C43" s="39" t="s">
        <v>118</v>
      </c>
      <c r="D43" s="12">
        <v>26</v>
      </c>
      <c r="E43" s="8">
        <f t="shared" si="23"/>
        <v>4.333333333333333</v>
      </c>
      <c r="F43" s="3">
        <f t="shared" si="20"/>
        <v>31.0380736442456</v>
      </c>
      <c r="G43" s="12">
        <v>46</v>
      </c>
      <c r="H43" s="8">
        <f t="shared" si="24"/>
        <v>4.5999999999999996</v>
      </c>
      <c r="I43" s="3">
        <f t="shared" si="21"/>
        <v>28.696599215272702</v>
      </c>
      <c r="J43" s="12">
        <v>43</v>
      </c>
      <c r="K43" s="8">
        <f t="shared" si="25"/>
        <v>3.5833333333333335</v>
      </c>
      <c r="L43" s="3">
        <f t="shared" si="22"/>
        <v>27.118296364340807</v>
      </c>
      <c r="M43" s="9"/>
      <c r="N43" s="19"/>
      <c r="O43" s="9"/>
      <c r="P43" s="2"/>
      <c r="Q43" s="19"/>
      <c r="R43" s="9"/>
    </row>
    <row r="44" spans="1:22" ht="22" x14ac:dyDescent="0.35">
      <c r="A44" s="6">
        <v>77</v>
      </c>
      <c r="B44" s="38">
        <v>5546000076</v>
      </c>
      <c r="C44" s="39" t="s">
        <v>119</v>
      </c>
      <c r="D44" s="12">
        <v>24</v>
      </c>
      <c r="E44" s="8">
        <f t="shared" si="23"/>
        <v>4</v>
      </c>
      <c r="F44" s="3">
        <f t="shared" si="20"/>
        <v>21.377155813452639</v>
      </c>
      <c r="G44" s="12">
        <v>36</v>
      </c>
      <c r="H44" s="8">
        <f t="shared" si="24"/>
        <v>3.6</v>
      </c>
      <c r="I44" s="3">
        <f t="shared" si="21"/>
        <v>17.743712651501731</v>
      </c>
      <c r="J44" s="12">
        <v>35</v>
      </c>
      <c r="K44" s="8">
        <f t="shared" si="25"/>
        <v>2.9166666666666665</v>
      </c>
      <c r="L44" s="3">
        <f t="shared" si="22"/>
        <v>18.645110906977575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24.75</v>
      </c>
      <c r="G45" s="9">
        <f>AVERAGE($G$37:$G$44)</f>
        <v>42.625</v>
      </c>
      <c r="J45" s="9">
        <f>AVERAGE($J$37:$J$44)</f>
        <v>41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1.0350983390135313</v>
      </c>
      <c r="F46" s="5"/>
      <c r="G46" s="9">
        <f>STDEV($G$37:$G$44)</f>
        <v>4.5650066499716857</v>
      </c>
      <c r="J46" s="9">
        <f>STDEV($J$37:$J$44)</f>
        <v>4.7207747548166585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47">
        <v>7</v>
      </c>
      <c r="B97" s="59">
        <v>5546000006</v>
      </c>
      <c r="C97" s="60" t="s">
        <v>112</v>
      </c>
      <c r="D97" s="61">
        <f t="shared" ref="D97:E103" si="27">ROUND(SUM(E8,H8,K8,N8,Q8,E22,H22,K22,N22,Q22,E37,H37,K37,N37,Q37,E52,H52,K52,N52,Q52,E67,H67,K67,N67,Q67,E82,H82,K82,N82,Q82),2)</f>
        <v>82.06</v>
      </c>
      <c r="E97" s="61">
        <f t="shared" si="27"/>
        <v>539.80999999999995</v>
      </c>
      <c r="F97" s="46" t="str">
        <f>IF($I$100="-","-",IF(E97&gt;=$I$97,$K$97,IF(E97&gt;=$I$98,$K$98,IF(E97&gt;=$I$99,$K$99,IF(E97&gt;=$I$100,$K$100,IF(E97&gt;=$I$101,$K$101,IF(E97&gt;=$I$102,$K$102,IF(E97&gt;=$I$103,$K$103,IF(E97&gt;=$I$104,$K$104)))))))))</f>
        <v>-</v>
      </c>
      <c r="G97" s="46" t="str">
        <f>IF($O$100="-","-",IF(E97&gt;=$N$97,$Q$97,IF(E97&gt;=$N$98,$Q$98,IF(E97&gt;=$N$99,$Q$99,IF(E97&gt;=$N$100,$Q$100,IF(E97&gt;=$N$101,$Q$101,IF(E97&gt;=$N$102,$Q$102,IF(E97&lt;=$P$103,$Q$103))))))))</f>
        <v>A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 t="str">
        <f t="shared" ref="L97:L103" si="28">IF(F97="-","-",COUNTIF($F$97:$F$104,K97))</f>
        <v>-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>
        <f t="shared" ref="R97:R103" si="29">IF(G97="-","-",COUNTIF($G$97:$G$104,Q97))</f>
        <v>0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6">
        <v>17</v>
      </c>
      <c r="B98" s="38">
        <v>5546000016</v>
      </c>
      <c r="C98" s="39" t="s">
        <v>113</v>
      </c>
      <c r="D98" s="8">
        <f t="shared" si="27"/>
        <v>74.790000000000006</v>
      </c>
      <c r="E98" s="8">
        <f t="shared" si="27"/>
        <v>423.99</v>
      </c>
      <c r="F98" s="7" t="str">
        <f t="shared" ref="F98:F104" si="30">IF($I$100="-","-",IF(E98&gt;=$I$97,$K$97,IF(E98&gt;=$I$98,$K$98,IF(E98&gt;=$I$99,$K$99,IF(E98&gt;=$I$100,$K$100,IF(E98&gt;=$I$101,$K$101,IF(E98&gt;=$I$102,$K$102,IF(E98&gt;=$I$103,$K$103,IF(E98&gt;=$I$104,$K$104)))))))))</f>
        <v>-</v>
      </c>
      <c r="G98" s="7" t="str">
        <f t="shared" ref="G98:G104" si="31">IF($O$100="-","-",IF(E98&gt;=$N$97,$Q$97,IF(E98&gt;=$N$98,$Q$98,IF(E98&gt;=$N$99,$Q$99,IF(E98&gt;=$N$100,$Q$100,IF(E98&gt;=$N$101,$Q$101,IF(E98&gt;=$N$102,$Q$102,IF(E98&lt;=$P$103,$Q$103))))))))</f>
        <v>B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 t="str">
        <f t="shared" si="28"/>
        <v>-</v>
      </c>
      <c r="M98" s="20" t="e">
        <f t="shared" ref="M98:M104" si="32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>
        <f t="shared" si="29"/>
        <v>0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27</v>
      </c>
      <c r="B99" s="38">
        <v>5546000026</v>
      </c>
      <c r="C99" s="39" t="s">
        <v>114</v>
      </c>
      <c r="D99" s="8">
        <f t="shared" si="27"/>
        <v>81.08</v>
      </c>
      <c r="E99" s="8">
        <f t="shared" si="27"/>
        <v>518.66</v>
      </c>
      <c r="F99" s="7" t="str">
        <f t="shared" si="30"/>
        <v>-</v>
      </c>
      <c r="G99" s="7" t="str">
        <f t="shared" si="31"/>
        <v>B+</v>
      </c>
      <c r="I99" s="6" t="str">
        <f>IF(OR($E$110=8,$E$110=6,$E$110=4),$J$100+0.01,"-")</f>
        <v>-</v>
      </c>
      <c r="J99" s="6" t="str">
        <f>IF(OR($E$110=8,$E$110=6,$E$110=4),$I$99+$E$111,"-")</f>
        <v>-</v>
      </c>
      <c r="K99" s="7" t="str">
        <f>IF($E$110=8,$T$95,IF($E$110=6,$T$94,IF($E$110=4,$T$93,"-")))</f>
        <v>-</v>
      </c>
      <c r="L99" s="7" t="str">
        <f t="shared" si="28"/>
        <v>-</v>
      </c>
      <c r="M99" s="20">
        <f t="shared" si="32"/>
        <v>52.309999999999945</v>
      </c>
      <c r="N99" s="8">
        <f>IF(OR($E$110=3,$E$110=5,$E$110=7),$P$100+0.01,"-")</f>
        <v>526.16499999999996</v>
      </c>
      <c r="O99" s="13"/>
      <c r="P99" s="8">
        <f>IF(OR($E$110=3,$E$110=5,$E$110=7),$N$99+$E$111,"-")</f>
        <v>578.47499999999991</v>
      </c>
      <c r="Q99" s="7" t="str">
        <f>IF($E$110=7,$T$95,IF($E$110=5,$T$94,IF($E$110=3,$T$93,"-")))</f>
        <v>A</v>
      </c>
      <c r="R99" s="7">
        <f t="shared" si="29"/>
        <v>3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37</v>
      </c>
      <c r="B100" s="38">
        <v>5546000036</v>
      </c>
      <c r="C100" s="39" t="s">
        <v>115</v>
      </c>
      <c r="D100" s="8">
        <f t="shared" si="27"/>
        <v>84.48</v>
      </c>
      <c r="E100" s="8">
        <f t="shared" si="27"/>
        <v>580.91999999999996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-</v>
      </c>
      <c r="G100" s="7" t="str">
        <f t="shared" si="31"/>
        <v>A</v>
      </c>
      <c r="I100" s="31" t="str">
        <f>IF(OR($E$110=2,$E$110=4,$E$110=6,$E$110=8),$E$106,"-")</f>
        <v>-</v>
      </c>
      <c r="J100" s="8" t="str">
        <f>IF(OR($E$110=2,$E$110=4,$E$110=6,$E$110=8),$E$106+$E$111,"-")</f>
        <v>-</v>
      </c>
      <c r="K100" s="7" t="str">
        <f>IF($E$110=8,$T$96,IF($E$110=6,$T$95,IF($E$110=4,$T$94,IF($E$110=2,$T$93,"-"))))</f>
        <v>-</v>
      </c>
      <c r="L100" s="7" t="str">
        <f t="shared" si="28"/>
        <v>-</v>
      </c>
      <c r="M100" s="20">
        <f t="shared" si="32"/>
        <v>52.309999999999945</v>
      </c>
      <c r="N100" s="8">
        <f>IF(OR($E$110=1,$E$110=3,$E$110=5,$E$110=7),$E$106-($E$111/2),"-")</f>
        <v>473.84500000000003</v>
      </c>
      <c r="O100" s="31">
        <f>IF(OR($E$110=1,$E$110=3,$E$110=5,$E$110=7),$E$106,"-")</f>
        <v>500</v>
      </c>
      <c r="P100" s="8">
        <f>IF(OR($E$110=1,$E$110=3,$E$110=5,$E$110=7),$E$106+($E$111/2),"-")</f>
        <v>526.15499999999997</v>
      </c>
      <c r="Q100" s="7" t="str">
        <f>IF($E$110=7,$T$96,IF($E$110=5,$T$95,IF($E$110=3,$T$94,IF($E$110=1,$T$93,"-"))))</f>
        <v>B+</v>
      </c>
      <c r="R100" s="7">
        <f t="shared" si="29"/>
        <v>2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47</v>
      </c>
      <c r="B101" s="38">
        <v>5546000046</v>
      </c>
      <c r="C101" s="39" t="s">
        <v>116</v>
      </c>
      <c r="D101" s="8">
        <f t="shared" si="27"/>
        <v>76.53</v>
      </c>
      <c r="E101" s="8">
        <f t="shared" si="27"/>
        <v>435.11</v>
      </c>
      <c r="F101" s="7" t="str">
        <f t="shared" si="30"/>
        <v>-</v>
      </c>
      <c r="G101" s="7" t="str">
        <f t="shared" si="31"/>
        <v>B</v>
      </c>
      <c r="I101" s="6" t="str">
        <f>IF(OR($E$110=2,$E$110=4,$E$110=6,$E$110=8),$J$101-$E$111,"-")</f>
        <v>-</v>
      </c>
      <c r="J101" s="8" t="str">
        <f>IF(OR($E$110=2,$E$110=4,$E$110=6,$E$110=8),$I$100-0.01,"-")</f>
        <v>-</v>
      </c>
      <c r="K101" s="7" t="str">
        <f>IF($E$110=8,$T$97,IF($E$110=6,$T$96,IF($E$110=4,$T$95,IF($E$110=2,$T$94,"-"))))</f>
        <v>-</v>
      </c>
      <c r="L101" s="7" t="str">
        <f t="shared" si="28"/>
        <v>-</v>
      </c>
      <c r="M101" s="20">
        <f t="shared" si="32"/>
        <v>52.31</v>
      </c>
      <c r="N101" s="8">
        <f>IF(OR($E$110=3,$E$110=5,$E$110=7),$P$101-$E$111,"-")</f>
        <v>421.52500000000003</v>
      </c>
      <c r="O101" s="13"/>
      <c r="P101" s="8">
        <f>IF(OR($E$110=3,$E$110=5,$E$110=7),$N$100-0.01,"-")</f>
        <v>473.83500000000004</v>
      </c>
      <c r="Q101" s="7" t="str">
        <f>IF($E$110=7,$T$97,IF($E$110=5,$T$96,IF($E$110=3,$T$95,"-")))</f>
        <v>B</v>
      </c>
      <c r="R101" s="7">
        <f t="shared" si="29"/>
        <v>3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57</v>
      </c>
      <c r="B102" s="38">
        <v>5546000056</v>
      </c>
      <c r="C102" s="39" t="s">
        <v>117</v>
      </c>
      <c r="D102" s="8">
        <f t="shared" si="27"/>
        <v>80.59</v>
      </c>
      <c r="E102" s="8">
        <f t="shared" si="27"/>
        <v>504.58</v>
      </c>
      <c r="F102" s="7" t="str">
        <f t="shared" si="30"/>
        <v>-</v>
      </c>
      <c r="G102" s="7" t="str">
        <f t="shared" si="31"/>
        <v>B+</v>
      </c>
      <c r="I102" s="47" t="str">
        <f>IF(OR($E$110=4,$E$110=6,$E$110=8),$J$102-$E$111,"-")</f>
        <v>-</v>
      </c>
      <c r="J102" s="6" t="str">
        <f>IF(OR($E$110=8,$E$110=6,$E$110=4),$I$101-0.01,"-")</f>
        <v>-</v>
      </c>
      <c r="K102" s="7" t="str">
        <f>IF($E$110=8,$T$98,IF($E$110=6,$T$97,IF($E$110=4,$T$96,"-")))</f>
        <v>-</v>
      </c>
      <c r="L102" s="7" t="str">
        <f t="shared" si="28"/>
        <v>-</v>
      </c>
      <c r="M102" s="20" t="e">
        <f t="shared" si="32"/>
        <v>#VALUE!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>
        <f t="shared" si="29"/>
        <v>0</v>
      </c>
    </row>
    <row r="103" spans="1:20" ht="23" thickBot="1" x14ac:dyDescent="0.4">
      <c r="A103" s="6">
        <v>67</v>
      </c>
      <c r="B103" s="38">
        <v>5546000066</v>
      </c>
      <c r="C103" s="39" t="s">
        <v>118</v>
      </c>
      <c r="D103" s="8">
        <f t="shared" si="27"/>
        <v>83.4</v>
      </c>
      <c r="E103" s="8">
        <f t="shared" si="27"/>
        <v>571.27</v>
      </c>
      <c r="F103" s="7" t="str">
        <f t="shared" si="30"/>
        <v>-</v>
      </c>
      <c r="G103" s="7" t="str">
        <f t="shared" si="31"/>
        <v>A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 t="str">
        <f t="shared" si="28"/>
        <v>-</v>
      </c>
      <c r="M103" s="20" t="e">
        <f t="shared" si="32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>
        <f t="shared" si="29"/>
        <v>0</v>
      </c>
    </row>
    <row r="104" spans="1:20" ht="23" thickBot="1" x14ac:dyDescent="0.4">
      <c r="A104" s="6">
        <v>77</v>
      </c>
      <c r="B104" s="38">
        <v>5546000076</v>
      </c>
      <c r="C104" s="39" t="s">
        <v>119</v>
      </c>
      <c r="D104" s="8">
        <f>ROUND(SUM(E15,H15,K15,N15,Q15,E29,H29,K29,N29,Q29,E44,H44,K44,N44,Q44,E58,H58,K58,N58,Q58,E73,H73,K73,N73,Q73,E88,H88,K88,N88,Q88),2)</f>
        <v>74.7</v>
      </c>
      <c r="E104" s="8">
        <f>ROUND(SUM(F15,I15,L15,O15,R15,F29,I29,L29,O29,R29,F44,I44,L44,O44,R44,F58,I58,L58,O58,R58,F73,I73,L73,O73,R73,F88,I88,L88,O88,R88),2)</f>
        <v>425.66</v>
      </c>
      <c r="F104" s="7" t="str">
        <f t="shared" si="30"/>
        <v>-</v>
      </c>
      <c r="G104" s="7" t="str">
        <f t="shared" si="31"/>
        <v>B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 t="e">
        <f>IF(#REF!="-","-",COUNTIF($F$97:$F$104,K104))</f>
        <v>#REF!</v>
      </c>
      <c r="M104" s="20" t="e">
        <f t="shared" si="32"/>
        <v>#VALUE!</v>
      </c>
      <c r="N104" s="218" t="s">
        <v>1</v>
      </c>
      <c r="O104" s="219"/>
      <c r="P104" s="219"/>
      <c r="Q104" s="220"/>
      <c r="R104" s="33">
        <f>SUM($R$97:$R$103)</f>
        <v>8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 t="e">
        <f>SUM($L$97:$L$104)</f>
        <v>#REF!</v>
      </c>
    </row>
    <row r="106" spans="1:20" x14ac:dyDescent="0.35">
      <c r="C106" s="4" t="s">
        <v>13</v>
      </c>
      <c r="D106" s="37">
        <f>ROUND(AVERAGE($D$97:$D$104),2)</f>
        <v>79.7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84.48</v>
      </c>
      <c r="E107" s="37">
        <f>ROUND(MAX($E$97:$E$104),2)</f>
        <v>580.91999999999996</v>
      </c>
      <c r="I107" s="45"/>
      <c r="J107" s="45"/>
    </row>
    <row r="108" spans="1:20" x14ac:dyDescent="0.35">
      <c r="C108" s="4" t="s">
        <v>19</v>
      </c>
      <c r="D108" s="37">
        <f>ROUND(MIN($D$97:$D$104),2)</f>
        <v>74.7</v>
      </c>
      <c r="E108" s="37">
        <f>ROUND(MIN($E$97:$E$104),2)</f>
        <v>423.99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156.93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3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52.31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D33:F33"/>
    <mergeCell ref="A34:A36"/>
    <mergeCell ref="B34:B36"/>
    <mergeCell ref="C34:C36"/>
    <mergeCell ref="D34:F34"/>
    <mergeCell ref="G34:I34"/>
    <mergeCell ref="J34:L34"/>
    <mergeCell ref="M34:O34"/>
    <mergeCell ref="P34:R34"/>
    <mergeCell ref="M49:O49"/>
    <mergeCell ref="P49:R4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N104:Q104"/>
    <mergeCell ref="I105:K105"/>
    <mergeCell ref="N111:R111"/>
    <mergeCell ref="N112:R112"/>
    <mergeCell ref="N113:R113"/>
  </mergeCells>
  <pageMargins left="0.70866141732283472" right="0.70866141732283472" top="0.31496062992125984" bottom="0.19685039370078741" header="0.31496062992125984" footer="0.19685039370078741"/>
  <pageSetup paperSize="9" scale="79" orientation="landscape" r:id="rId1"/>
  <rowBreaks count="3" manualBreakCount="3">
    <brk id="32" max="16383" man="1"/>
    <brk id="62" max="17" man="1"/>
    <brk id="92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13"/>
  <sheetViews>
    <sheetView view="pageBreakPreview" topLeftCell="A31" zoomScale="90" zoomScaleNormal="90" zoomScaleSheetLayoutView="90" workbookViewId="0">
      <selection activeCell="D38" sqref="D38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8</v>
      </c>
      <c r="B8" s="38">
        <v>5546000007</v>
      </c>
      <c r="C8" s="39" t="s">
        <v>123</v>
      </c>
      <c r="D8" s="58">
        <v>71.144278606965187</v>
      </c>
      <c r="E8" s="8">
        <f>(D8*$E$7)/$D$7</f>
        <v>18.971807628524051</v>
      </c>
      <c r="F8" s="3">
        <f t="shared" ref="F8:F15" si="0">IF($D$17=0,50,(50+(10*(STANDARDIZE(D8,$D$16,$D$17)))))*$F$7</f>
        <v>108.97834355353767</v>
      </c>
      <c r="G8" s="58">
        <v>26.004938271604939</v>
      </c>
      <c r="H8" s="8">
        <f>(G8*$H$7)/$G$7</f>
        <v>8.6683127572016456</v>
      </c>
      <c r="I8" s="3">
        <f t="shared" ref="I8:I15" si="1">IF($G$17=0,50,(50+(10*(STANDARDIZE(G8,$G$16,$G$17)))))*$I$7</f>
        <v>46.035932400718963</v>
      </c>
      <c r="J8" s="58">
        <v>44.938271604938272</v>
      </c>
      <c r="K8" s="8">
        <f>(J8*$K$7)/$J$7</f>
        <v>4.4938271604938276</v>
      </c>
      <c r="L8" s="3">
        <f t="shared" ref="L8:L15" si="2">IF($J$17=0,50,(50+(10*(STANDARDIZE(J8,$J$16,$J$17)))))*$L$7</f>
        <v>26.701172539753198</v>
      </c>
      <c r="M8" s="58">
        <v>82</v>
      </c>
      <c r="N8" s="8">
        <f>(M8*$N$7)/$M$7</f>
        <v>8.1999999999999993</v>
      </c>
      <c r="O8" s="3">
        <f t="shared" ref="O8:O15" si="3">IF($M$17=0,50,(50+(10*(STANDARDIZE(M8,$M$16,$M$17)))))*$O$7</f>
        <v>50.423876701300678</v>
      </c>
      <c r="P8" s="58">
        <v>46</v>
      </c>
      <c r="Q8" s="8">
        <f>(P8*$Q$7)/$P$7</f>
        <v>9.1999999999999993</v>
      </c>
      <c r="R8" s="3">
        <f t="shared" ref="R8:R15" si="4">IF($P$17=0,50,(50+(10*(STANDARDIZE(P8,$P$16,$P$17)))))*$R$7</f>
        <v>50</v>
      </c>
    </row>
    <row r="9" spans="1:22" ht="22" x14ac:dyDescent="0.35">
      <c r="A9" s="6">
        <v>18</v>
      </c>
      <c r="B9" s="38">
        <v>5546000017</v>
      </c>
      <c r="C9" s="39" t="s">
        <v>124</v>
      </c>
      <c r="D9" s="58">
        <v>69.356250000000003</v>
      </c>
      <c r="E9" s="8">
        <f t="shared" ref="E9:E15" si="5">(D9*$E$7)/$D$7</f>
        <v>18.495000000000001</v>
      </c>
      <c r="F9" s="3">
        <f t="shared" si="0"/>
        <v>58.300240613596877</v>
      </c>
      <c r="G9" s="58">
        <v>24.98510427010924</v>
      </c>
      <c r="H9" s="8">
        <f t="shared" ref="H9:H15" si="6">(G9*$H$7)/$G$7</f>
        <v>8.3283680900364132</v>
      </c>
      <c r="I9" s="3">
        <f t="shared" si="1"/>
        <v>35.504787039604849</v>
      </c>
      <c r="J9" s="58">
        <v>42.817249999999994</v>
      </c>
      <c r="K9" s="8">
        <f t="shared" ref="K9:K15" si="7">(J9*$K$7)/$J$7</f>
        <v>4.2817249999999998</v>
      </c>
      <c r="L9" s="3">
        <f t="shared" si="2"/>
        <v>15.135509167407381</v>
      </c>
      <c r="M9" s="58">
        <v>79</v>
      </c>
      <c r="N9" s="8">
        <f t="shared" ref="N9:N15" si="8">(M9*$N$7)/$M$7</f>
        <v>7.9</v>
      </c>
      <c r="O9" s="3">
        <f t="shared" si="3"/>
        <v>40.250835870084408</v>
      </c>
      <c r="P9" s="58">
        <v>47</v>
      </c>
      <c r="Q9" s="8">
        <f t="shared" ref="Q9:Q15" si="9">(P9*$Q$7)/$P$7</f>
        <v>9.4</v>
      </c>
      <c r="R9" s="3">
        <f t="shared" si="4"/>
        <v>56.236095644623234</v>
      </c>
      <c r="V9" s="1" t="s">
        <v>2</v>
      </c>
    </row>
    <row r="10" spans="1:22" ht="22" x14ac:dyDescent="0.35">
      <c r="A10" s="6">
        <v>28</v>
      </c>
      <c r="B10" s="38">
        <v>5546000027</v>
      </c>
      <c r="C10" s="39" t="s">
        <v>125</v>
      </c>
      <c r="D10" s="58">
        <v>71.243781094527364</v>
      </c>
      <c r="E10" s="8">
        <f t="shared" si="5"/>
        <v>18.998341625207299</v>
      </c>
      <c r="F10" s="3">
        <f t="shared" si="0"/>
        <v>111.79854301109273</v>
      </c>
      <c r="G10" s="58">
        <v>27.48641975308642</v>
      </c>
      <c r="H10" s="8">
        <f t="shared" si="6"/>
        <v>9.1621399176954732</v>
      </c>
      <c r="I10" s="3">
        <f t="shared" si="1"/>
        <v>61.334203304021422</v>
      </c>
      <c r="J10" s="58">
        <v>44.602469135802465</v>
      </c>
      <c r="K10" s="8">
        <f t="shared" si="7"/>
        <v>4.4602469135802467</v>
      </c>
      <c r="L10" s="3">
        <f t="shared" si="2"/>
        <v>24.870084016852317</v>
      </c>
      <c r="M10" s="58">
        <v>83</v>
      </c>
      <c r="N10" s="8">
        <f t="shared" si="8"/>
        <v>8.3000000000000007</v>
      </c>
      <c r="O10" s="3">
        <f t="shared" si="3"/>
        <v>53.814890311706101</v>
      </c>
      <c r="P10" s="58">
        <v>43</v>
      </c>
      <c r="Q10" s="8">
        <f t="shared" si="9"/>
        <v>8.6</v>
      </c>
      <c r="R10" s="3">
        <f t="shared" si="4"/>
        <v>31.291713066130292</v>
      </c>
    </row>
    <row r="11" spans="1:22" ht="22" x14ac:dyDescent="0.35">
      <c r="A11" s="6">
        <v>38</v>
      </c>
      <c r="B11" s="38">
        <v>5546000037</v>
      </c>
      <c r="C11" s="39" t="s">
        <v>126</v>
      </c>
      <c r="D11" s="58">
        <v>70.4179125</v>
      </c>
      <c r="E11" s="8">
        <f t="shared" si="5"/>
        <v>18.778110000000002</v>
      </c>
      <c r="F11" s="3">
        <f t="shared" si="0"/>
        <v>88.390945679996506</v>
      </c>
      <c r="G11" s="58">
        <v>25.819265143992059</v>
      </c>
      <c r="H11" s="8">
        <f t="shared" si="6"/>
        <v>8.6064217146640196</v>
      </c>
      <c r="I11" s="3">
        <f t="shared" si="1"/>
        <v>44.118609881881397</v>
      </c>
      <c r="J11" s="58">
        <v>44.444444444444443</v>
      </c>
      <c r="K11" s="8">
        <f t="shared" si="7"/>
        <v>4.4444444444444446</v>
      </c>
      <c r="L11" s="3">
        <f t="shared" si="2"/>
        <v>24.008395300193101</v>
      </c>
      <c r="M11" s="58">
        <v>79</v>
      </c>
      <c r="N11" s="8">
        <f t="shared" si="8"/>
        <v>7.9</v>
      </c>
      <c r="O11" s="3">
        <f t="shared" si="3"/>
        <v>40.250835870084408</v>
      </c>
      <c r="P11" s="58">
        <v>45</v>
      </c>
      <c r="Q11" s="8">
        <f t="shared" si="9"/>
        <v>9</v>
      </c>
      <c r="R11" s="3">
        <f t="shared" si="4"/>
        <v>43.763904355376766</v>
      </c>
      <c r="V11" s="1" t="s">
        <v>2</v>
      </c>
    </row>
    <row r="12" spans="1:22" ht="22" x14ac:dyDescent="0.35">
      <c r="A12" s="6">
        <v>48</v>
      </c>
      <c r="B12" s="38">
        <v>5546000047</v>
      </c>
      <c r="C12" s="39" t="s">
        <v>127</v>
      </c>
      <c r="D12" s="58">
        <v>70.477611940298516</v>
      </c>
      <c r="E12" s="8">
        <f t="shared" si="5"/>
        <v>18.79402985074627</v>
      </c>
      <c r="F12" s="3">
        <f t="shared" si="0"/>
        <v>90.083007187916195</v>
      </c>
      <c r="G12" s="58">
        <v>25.837037037037039</v>
      </c>
      <c r="H12" s="8">
        <f t="shared" si="6"/>
        <v>8.6123456790123463</v>
      </c>
      <c r="I12" s="3">
        <f t="shared" si="1"/>
        <v>44.30212836501137</v>
      </c>
      <c r="J12" s="58">
        <v>43.921500000000002</v>
      </c>
      <c r="K12" s="8">
        <f t="shared" si="7"/>
        <v>4.39215</v>
      </c>
      <c r="L12" s="3">
        <f t="shared" si="2"/>
        <v>21.156845182645476</v>
      </c>
      <c r="M12" s="58">
        <v>78</v>
      </c>
      <c r="N12" s="8">
        <f t="shared" si="8"/>
        <v>7.8</v>
      </c>
      <c r="O12" s="3">
        <f t="shared" si="3"/>
        <v>36.859822259678978</v>
      </c>
      <c r="P12" s="58">
        <v>45</v>
      </c>
      <c r="Q12" s="8">
        <f t="shared" si="9"/>
        <v>9</v>
      </c>
      <c r="R12" s="3">
        <f t="shared" si="4"/>
        <v>43.763904355376766</v>
      </c>
    </row>
    <row r="13" spans="1:22" ht="22" x14ac:dyDescent="0.35">
      <c r="A13" s="6">
        <v>58</v>
      </c>
      <c r="B13" s="38">
        <v>5546000057</v>
      </c>
      <c r="C13" s="39" t="s">
        <v>128</v>
      </c>
      <c r="D13" s="58">
        <v>71.405940594059416</v>
      </c>
      <c r="E13" s="8">
        <f t="shared" si="5"/>
        <v>19.041584158415844</v>
      </c>
      <c r="F13" s="3">
        <f t="shared" si="0"/>
        <v>116.39463044390115</v>
      </c>
      <c r="G13" s="58">
        <v>26.330864197530865</v>
      </c>
      <c r="H13" s="8">
        <f t="shared" si="6"/>
        <v>8.7769547325102888</v>
      </c>
      <c r="I13" s="3">
        <f t="shared" si="1"/>
        <v>49.401551999445509</v>
      </c>
      <c r="J13" s="58">
        <v>45.590123456790124</v>
      </c>
      <c r="K13" s="8">
        <f t="shared" si="7"/>
        <v>4.5590123456790126</v>
      </c>
      <c r="L13" s="3">
        <f t="shared" si="2"/>
        <v>30.255638495972512</v>
      </c>
      <c r="M13" s="58">
        <v>83</v>
      </c>
      <c r="N13" s="8">
        <f t="shared" si="8"/>
        <v>8.3000000000000007</v>
      </c>
      <c r="O13" s="3">
        <f t="shared" si="3"/>
        <v>53.814890311706101</v>
      </c>
      <c r="P13" s="58">
        <v>47</v>
      </c>
      <c r="Q13" s="8">
        <f t="shared" si="9"/>
        <v>9.4</v>
      </c>
      <c r="R13" s="3">
        <f t="shared" si="4"/>
        <v>56.236095644623234</v>
      </c>
    </row>
    <row r="14" spans="1:22" ht="22" x14ac:dyDescent="0.35">
      <c r="A14" s="6">
        <v>68</v>
      </c>
      <c r="B14" s="38">
        <v>5546000067</v>
      </c>
      <c r="C14" s="39" t="s">
        <v>129</v>
      </c>
      <c r="D14" s="58">
        <v>71.287128712871294</v>
      </c>
      <c r="E14" s="8">
        <f t="shared" si="5"/>
        <v>19.009900990099013</v>
      </c>
      <c r="F14" s="3">
        <f t="shared" si="0"/>
        <v>113.02714475497842</v>
      </c>
      <c r="G14" s="58">
        <v>26.666666666666668</v>
      </c>
      <c r="H14" s="8">
        <f t="shared" si="6"/>
        <v>8.8888888888888893</v>
      </c>
      <c r="I14" s="3">
        <f t="shared" si="1"/>
        <v>52.869160070860744</v>
      </c>
      <c r="J14" s="58">
        <v>45.264197530864195</v>
      </c>
      <c r="K14" s="8">
        <f t="shared" si="7"/>
        <v>4.5264197530864188</v>
      </c>
      <c r="L14" s="3">
        <f t="shared" si="2"/>
        <v>28.478405517862836</v>
      </c>
      <c r="M14" s="58">
        <v>85</v>
      </c>
      <c r="N14" s="8">
        <f t="shared" si="8"/>
        <v>8.5</v>
      </c>
      <c r="O14" s="3">
        <f t="shared" si="3"/>
        <v>60.596917532516947</v>
      </c>
      <c r="P14" s="58">
        <v>48</v>
      </c>
      <c r="Q14" s="8">
        <f t="shared" si="9"/>
        <v>9.6</v>
      </c>
      <c r="R14" s="3">
        <f t="shared" si="4"/>
        <v>62.472191289246467</v>
      </c>
    </row>
    <row r="15" spans="1:22" ht="22" x14ac:dyDescent="0.35">
      <c r="A15" s="6">
        <v>78</v>
      </c>
      <c r="B15" s="38">
        <v>5546000077</v>
      </c>
      <c r="C15" s="39" t="s">
        <v>130</v>
      </c>
      <c r="D15" s="58">
        <v>71.287128712871294</v>
      </c>
      <c r="E15" s="8">
        <f t="shared" si="5"/>
        <v>19.009900990099013</v>
      </c>
      <c r="F15" s="3">
        <f t="shared" si="0"/>
        <v>113.02714475497842</v>
      </c>
      <c r="G15" s="58">
        <v>27.980246913580245</v>
      </c>
      <c r="H15" s="8">
        <f t="shared" si="6"/>
        <v>9.326748971193414</v>
      </c>
      <c r="I15" s="3">
        <f t="shared" si="1"/>
        <v>66.433626938455561</v>
      </c>
      <c r="J15" s="58">
        <v>45.432098765432102</v>
      </c>
      <c r="K15" s="8">
        <f t="shared" si="7"/>
        <v>4.5432098765432105</v>
      </c>
      <c r="L15" s="3">
        <f t="shared" si="2"/>
        <v>29.393949779313296</v>
      </c>
      <c r="M15" s="58">
        <v>86</v>
      </c>
      <c r="N15" s="8">
        <f t="shared" si="8"/>
        <v>8.6</v>
      </c>
      <c r="O15" s="3">
        <f t="shared" si="3"/>
        <v>63.98793114292237</v>
      </c>
      <c r="P15" s="58">
        <v>47</v>
      </c>
      <c r="Q15" s="8">
        <f t="shared" si="9"/>
        <v>9.4</v>
      </c>
      <c r="R15" s="3">
        <f t="shared" si="4"/>
        <v>56.236095644623234</v>
      </c>
    </row>
    <row r="16" spans="1:22" ht="18" customHeight="1" x14ac:dyDescent="0.35">
      <c r="C16" s="42" t="s">
        <v>13</v>
      </c>
      <c r="D16" s="9">
        <f>AVERAGE($D$8:$D$15)</f>
        <v>70.827504020199143</v>
      </c>
      <c r="E16" s="2"/>
      <c r="F16" s="2"/>
      <c r="G16" s="9">
        <f>AVERAGE($G$8:$G$15)</f>
        <v>26.388817781700936</v>
      </c>
      <c r="J16" s="9">
        <f>AVERAGE($J$8:$J$15)</f>
        <v>44.626294367283947</v>
      </c>
      <c r="M16" s="9">
        <f>AVERAGE($M$8:$M$15)</f>
        <v>81.875</v>
      </c>
      <c r="P16" s="9">
        <f>AVERAGE($P$8:$P$15)</f>
        <v>46</v>
      </c>
    </row>
    <row r="17" spans="1:19" ht="18" customHeight="1" x14ac:dyDescent="0.35">
      <c r="C17" s="42" t="s">
        <v>14</v>
      </c>
      <c r="D17" s="9">
        <f>STDEV($D$8:$D$15)</f>
        <v>0.70564149138897259</v>
      </c>
      <c r="E17" s="2"/>
      <c r="F17" s="2"/>
      <c r="G17" s="9">
        <f>STDEV($G$8:$G$15)</f>
        <v>0.96839799141069716</v>
      </c>
      <c r="J17" s="9">
        <f>STDEV($J$8:$J$15)</f>
        <v>0.91694766510746184</v>
      </c>
      <c r="M17" s="9">
        <f>STDEV(M8:M15)</f>
        <v>2.9489707647632879</v>
      </c>
      <c r="P17" s="9">
        <f>STDEV(P8:P15)</f>
        <v>1.6035674514745464</v>
      </c>
    </row>
    <row r="18" spans="1:19" ht="18" customHeight="1" x14ac:dyDescent="0.35">
      <c r="C18" s="42"/>
      <c r="D18" s="206" t="s">
        <v>121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8</v>
      </c>
      <c r="B22" s="38">
        <v>5546000007</v>
      </c>
      <c r="C22" s="39" t="s">
        <v>123</v>
      </c>
      <c r="D22" s="58">
        <v>48</v>
      </c>
      <c r="E22" s="8">
        <f>(D22*$E$21)/$D$21</f>
        <v>4.8</v>
      </c>
      <c r="F22" s="3">
        <f t="shared" ref="F22:F29" si="10">IF($D$31=0,50,(50+(10*(STANDARDIZE(D22,$D$30,$D$31)))))*$F$21</f>
        <v>25.748930861894099</v>
      </c>
      <c r="G22" s="58">
        <v>36</v>
      </c>
      <c r="H22" s="8">
        <f>(G22*$H$21)/$G$21</f>
        <v>4.5</v>
      </c>
      <c r="I22" s="3">
        <f t="shared" ref="I22:I29" si="11">IF($G$31=0,50,(50+(10*(STANDARDIZE(G22,$G$30,$G$31)))))*$I$21</f>
        <v>25</v>
      </c>
      <c r="J22" s="58">
        <v>46</v>
      </c>
      <c r="K22" s="8">
        <f>(J22*$K$21)/$J$21</f>
        <v>4.5999999999999996</v>
      </c>
      <c r="L22" s="3">
        <f t="shared" ref="L22:L29" si="12">IF($J$31=0,50,(50+(10*(STANDARDIZE(J22,$J$30,$J$31)))))*$L$21</f>
        <v>25</v>
      </c>
      <c r="M22" s="58">
        <v>35</v>
      </c>
      <c r="N22" s="8">
        <f>(M22*$N$21)/$M$21</f>
        <v>4.375</v>
      </c>
      <c r="O22" s="3">
        <f t="shared" ref="O22:O29" si="13">IF($M$31=0,50,(50+(10*(STANDARDIZE(M22,$M$30,$M$31)))))*$O$21</f>
        <v>17.949049064777924</v>
      </c>
      <c r="P22" s="58">
        <v>60</v>
      </c>
      <c r="Q22" s="8">
        <f>(P22*$Q$21)/$P$21</f>
        <v>8.5714285714285712</v>
      </c>
      <c r="R22" s="3">
        <f t="shared" ref="R22:R29" si="14">IF($P$31=0,50,(50+(10*(STANDARDIZE(P22,$P$30,$P$31)))))*$R$21</f>
        <v>46.105559518150692</v>
      </c>
    </row>
    <row r="23" spans="1:19" ht="22" x14ac:dyDescent="0.35">
      <c r="A23" s="6">
        <v>18</v>
      </c>
      <c r="B23" s="38">
        <v>5546000017</v>
      </c>
      <c r="C23" s="39" t="s">
        <v>124</v>
      </c>
      <c r="D23" s="58">
        <v>47</v>
      </c>
      <c r="E23" s="8">
        <f t="shared" ref="E23:E29" si="15">(D23*$E$21)/$D$21</f>
        <v>4.7</v>
      </c>
      <c r="F23" s="3">
        <f t="shared" si="10"/>
        <v>19.757483966741319</v>
      </c>
      <c r="G23" s="58">
        <v>36</v>
      </c>
      <c r="H23" s="8">
        <f t="shared" ref="H23:H29" si="16">(G23*$H$21)/$G$21</f>
        <v>4.5</v>
      </c>
      <c r="I23" s="3">
        <f t="shared" si="11"/>
        <v>25</v>
      </c>
      <c r="J23" s="58">
        <v>45</v>
      </c>
      <c r="K23" s="8">
        <f t="shared" ref="K23:K29" si="17">(J23*$K$21)/$J$21</f>
        <v>4.5</v>
      </c>
      <c r="L23" s="3">
        <f t="shared" si="12"/>
        <v>18.385621722338524</v>
      </c>
      <c r="M23" s="58">
        <v>36</v>
      </c>
      <c r="N23" s="8">
        <f t="shared" ref="N23:N29" si="18">(M23*$N$21)/$M$21</f>
        <v>4.5</v>
      </c>
      <c r="O23" s="3">
        <f t="shared" si="13"/>
        <v>23.589809812955586</v>
      </c>
      <c r="P23" s="58">
        <v>54</v>
      </c>
      <c r="Q23" s="8">
        <f t="shared" ref="Q23:Q29" si="19">(P23*$Q$21)/$P$21</f>
        <v>7.7142857142857144</v>
      </c>
      <c r="R23" s="3">
        <f t="shared" si="14"/>
        <v>31.726086969784017</v>
      </c>
    </row>
    <row r="24" spans="1:19" ht="22" x14ac:dyDescent="0.35">
      <c r="A24" s="6">
        <v>28</v>
      </c>
      <c r="B24" s="38">
        <v>5546000027</v>
      </c>
      <c r="C24" s="39" t="s">
        <v>125</v>
      </c>
      <c r="D24" s="58">
        <v>47</v>
      </c>
      <c r="E24" s="8">
        <f t="shared" si="15"/>
        <v>4.7</v>
      </c>
      <c r="F24" s="3">
        <f t="shared" si="10"/>
        <v>19.757483966741319</v>
      </c>
      <c r="G24" s="58">
        <v>36</v>
      </c>
      <c r="H24" s="8">
        <f t="shared" si="16"/>
        <v>4.5</v>
      </c>
      <c r="I24" s="3">
        <f t="shared" si="11"/>
        <v>25</v>
      </c>
      <c r="J24" s="58">
        <v>46</v>
      </c>
      <c r="K24" s="8">
        <f t="shared" si="17"/>
        <v>4.5999999999999996</v>
      </c>
      <c r="L24" s="3">
        <f t="shared" si="12"/>
        <v>25</v>
      </c>
      <c r="M24" s="58">
        <v>37</v>
      </c>
      <c r="N24" s="8">
        <f t="shared" si="18"/>
        <v>4.625</v>
      </c>
      <c r="O24" s="3">
        <f t="shared" si="13"/>
        <v>29.230570561133248</v>
      </c>
      <c r="P24" s="58">
        <v>62</v>
      </c>
      <c r="Q24" s="8">
        <f t="shared" si="19"/>
        <v>8.8571428571428577</v>
      </c>
      <c r="R24" s="3">
        <f t="shared" si="14"/>
        <v>50.89871703427292</v>
      </c>
    </row>
    <row r="25" spans="1:19" ht="22" x14ac:dyDescent="0.35">
      <c r="A25" s="6">
        <v>38</v>
      </c>
      <c r="B25" s="38">
        <v>5546000037</v>
      </c>
      <c r="C25" s="39" t="s">
        <v>126</v>
      </c>
      <c r="D25" s="58">
        <v>47</v>
      </c>
      <c r="E25" s="8">
        <f t="shared" si="15"/>
        <v>4.7</v>
      </c>
      <c r="F25" s="3">
        <f t="shared" si="10"/>
        <v>19.757483966741319</v>
      </c>
      <c r="G25" s="58">
        <v>36</v>
      </c>
      <c r="H25" s="8">
        <f t="shared" si="16"/>
        <v>4.5</v>
      </c>
      <c r="I25" s="3">
        <f t="shared" si="11"/>
        <v>25</v>
      </c>
      <c r="J25" s="58">
        <v>47</v>
      </c>
      <c r="K25" s="8">
        <f t="shared" si="17"/>
        <v>4.7</v>
      </c>
      <c r="L25" s="3">
        <f t="shared" si="12"/>
        <v>31.614378277661476</v>
      </c>
      <c r="M25" s="58">
        <v>36</v>
      </c>
      <c r="N25" s="8">
        <f t="shared" si="18"/>
        <v>4.5</v>
      </c>
      <c r="O25" s="3">
        <f t="shared" si="13"/>
        <v>23.589809812955586</v>
      </c>
      <c r="P25" s="58">
        <v>61</v>
      </c>
      <c r="Q25" s="8">
        <f t="shared" si="19"/>
        <v>8.7142857142857135</v>
      </c>
      <c r="R25" s="3">
        <f t="shared" si="14"/>
        <v>48.502138276211802</v>
      </c>
    </row>
    <row r="26" spans="1:19" ht="22" x14ac:dyDescent="0.35">
      <c r="A26" s="6">
        <v>48</v>
      </c>
      <c r="B26" s="38">
        <v>5546000047</v>
      </c>
      <c r="C26" s="39" t="s">
        <v>127</v>
      </c>
      <c r="D26" s="58">
        <v>48</v>
      </c>
      <c r="E26" s="8">
        <f t="shared" si="15"/>
        <v>4.8</v>
      </c>
      <c r="F26" s="3">
        <f t="shared" si="10"/>
        <v>25.748930861894099</v>
      </c>
      <c r="G26" s="58">
        <v>36</v>
      </c>
      <c r="H26" s="8">
        <f t="shared" si="16"/>
        <v>4.5</v>
      </c>
      <c r="I26" s="3">
        <f t="shared" si="11"/>
        <v>25</v>
      </c>
      <c r="J26" s="58">
        <v>45</v>
      </c>
      <c r="K26" s="8">
        <f t="shared" si="17"/>
        <v>4.5</v>
      </c>
      <c r="L26" s="3">
        <f t="shared" si="12"/>
        <v>18.385621722338524</v>
      </c>
      <c r="M26" s="58">
        <v>35</v>
      </c>
      <c r="N26" s="8">
        <f t="shared" si="18"/>
        <v>4.375</v>
      </c>
      <c r="O26" s="3">
        <f t="shared" si="13"/>
        <v>17.949049064777924</v>
      </c>
      <c r="P26" s="58">
        <v>59</v>
      </c>
      <c r="Q26" s="8">
        <f t="shared" si="19"/>
        <v>8.4285714285714288</v>
      </c>
      <c r="R26" s="3">
        <f t="shared" si="14"/>
        <v>43.708980760089581</v>
      </c>
    </row>
    <row r="27" spans="1:19" ht="22" x14ac:dyDescent="0.35">
      <c r="A27" s="6">
        <v>58</v>
      </c>
      <c r="B27" s="38">
        <v>5546000057</v>
      </c>
      <c r="C27" s="39" t="s">
        <v>128</v>
      </c>
      <c r="D27" s="58">
        <v>49</v>
      </c>
      <c r="E27" s="8">
        <f t="shared" si="15"/>
        <v>4.9000000000000004</v>
      </c>
      <c r="F27" s="3">
        <f t="shared" si="10"/>
        <v>31.740377757046879</v>
      </c>
      <c r="G27" s="58">
        <v>36</v>
      </c>
      <c r="H27" s="8">
        <f t="shared" si="16"/>
        <v>4.5</v>
      </c>
      <c r="I27" s="3">
        <f t="shared" si="11"/>
        <v>25</v>
      </c>
      <c r="J27" s="58">
        <v>46</v>
      </c>
      <c r="K27" s="8">
        <f t="shared" si="17"/>
        <v>4.5999999999999996</v>
      </c>
      <c r="L27" s="3">
        <f t="shared" si="12"/>
        <v>25</v>
      </c>
      <c r="M27" s="58">
        <v>37</v>
      </c>
      <c r="N27" s="8">
        <f t="shared" si="18"/>
        <v>4.625</v>
      </c>
      <c r="O27" s="3">
        <f t="shared" si="13"/>
        <v>29.230570561133248</v>
      </c>
      <c r="P27" s="58">
        <v>64</v>
      </c>
      <c r="Q27" s="8">
        <f t="shared" si="19"/>
        <v>9.1428571428571423</v>
      </c>
      <c r="R27" s="3">
        <f t="shared" si="14"/>
        <v>55.691874550395141</v>
      </c>
    </row>
    <row r="28" spans="1:19" ht="22" x14ac:dyDescent="0.35">
      <c r="A28" s="6">
        <v>68</v>
      </c>
      <c r="B28" s="38">
        <v>5546000067</v>
      </c>
      <c r="C28" s="39" t="s">
        <v>129</v>
      </c>
      <c r="D28" s="58">
        <v>48</v>
      </c>
      <c r="E28" s="8">
        <f t="shared" si="15"/>
        <v>4.8</v>
      </c>
      <c r="F28" s="3">
        <f t="shared" si="10"/>
        <v>25.748930861894099</v>
      </c>
      <c r="G28" s="58">
        <v>36</v>
      </c>
      <c r="H28" s="8">
        <f t="shared" si="16"/>
        <v>4.5</v>
      </c>
      <c r="I28" s="3">
        <f t="shared" si="11"/>
        <v>25</v>
      </c>
      <c r="J28" s="58">
        <v>46</v>
      </c>
      <c r="K28" s="8">
        <f t="shared" si="17"/>
        <v>4.5999999999999996</v>
      </c>
      <c r="L28" s="3">
        <f t="shared" si="12"/>
        <v>25</v>
      </c>
      <c r="M28" s="58">
        <v>37</v>
      </c>
      <c r="N28" s="8">
        <f t="shared" si="18"/>
        <v>4.625</v>
      </c>
      <c r="O28" s="3">
        <f t="shared" si="13"/>
        <v>29.230570561133248</v>
      </c>
      <c r="P28" s="58">
        <v>67</v>
      </c>
      <c r="Q28" s="8">
        <f t="shared" si="19"/>
        <v>9.5714285714285712</v>
      </c>
      <c r="R28" s="3">
        <f t="shared" si="14"/>
        <v>62.88161082457848</v>
      </c>
    </row>
    <row r="29" spans="1:19" ht="22" x14ac:dyDescent="0.35">
      <c r="A29" s="6">
        <v>78</v>
      </c>
      <c r="B29" s="38">
        <v>5546000077</v>
      </c>
      <c r="C29" s="39" t="s">
        <v>130</v>
      </c>
      <c r="D29" s="58">
        <v>49</v>
      </c>
      <c r="E29" s="8">
        <f t="shared" si="15"/>
        <v>4.9000000000000004</v>
      </c>
      <c r="F29" s="3">
        <f t="shared" si="10"/>
        <v>31.740377757046879</v>
      </c>
      <c r="G29" s="58">
        <v>36</v>
      </c>
      <c r="H29" s="8">
        <f t="shared" si="16"/>
        <v>4.5</v>
      </c>
      <c r="I29" s="3">
        <f t="shared" si="11"/>
        <v>25</v>
      </c>
      <c r="J29" s="58">
        <v>47</v>
      </c>
      <c r="K29" s="8">
        <f t="shared" si="17"/>
        <v>4.7</v>
      </c>
      <c r="L29" s="3">
        <f t="shared" si="12"/>
        <v>31.614378277661476</v>
      </c>
      <c r="M29" s="58">
        <v>37</v>
      </c>
      <c r="N29" s="8">
        <f t="shared" si="18"/>
        <v>4.625</v>
      </c>
      <c r="O29" s="3">
        <f t="shared" si="13"/>
        <v>29.230570561133248</v>
      </c>
      <c r="P29" s="58">
        <v>66</v>
      </c>
      <c r="Q29" s="8">
        <f t="shared" si="19"/>
        <v>9.4285714285714288</v>
      </c>
      <c r="R29" s="3">
        <f t="shared" si="14"/>
        <v>60.48503206651737</v>
      </c>
    </row>
    <row r="30" spans="1:19" x14ac:dyDescent="0.35">
      <c r="C30" s="42" t="s">
        <v>13</v>
      </c>
      <c r="D30" s="9">
        <f>AVERAGE($D$22:$D$29)</f>
        <v>47.875</v>
      </c>
      <c r="G30" s="9">
        <f>AVERAGE($G$22:$G$29)</f>
        <v>36</v>
      </c>
      <c r="J30" s="9">
        <f>AVERAGE($J$22:$J$29)</f>
        <v>46</v>
      </c>
      <c r="M30" s="9">
        <f>AVERAGE($M$22:$M$29)</f>
        <v>36.25</v>
      </c>
      <c r="P30" s="9">
        <f>AVERAGE($P$22:$P$29)</f>
        <v>61.625</v>
      </c>
    </row>
    <row r="31" spans="1:19" x14ac:dyDescent="0.35">
      <c r="C31" s="42" t="s">
        <v>14</v>
      </c>
      <c r="D31" s="9">
        <f>STDEV($D$22:$D$29)</f>
        <v>0.83452296039628016</v>
      </c>
      <c r="F31" s="5"/>
      <c r="G31" s="9">
        <f>STDEV($G$22:$G$29)</f>
        <v>0</v>
      </c>
      <c r="J31" s="9">
        <f>STDEV($J$22:$J$29)</f>
        <v>0.7559289460184544</v>
      </c>
      <c r="L31" s="5"/>
      <c r="M31" s="9">
        <f>STDEV($M$22:$M$29)</f>
        <v>0.88640526042791834</v>
      </c>
      <c r="P31" s="9">
        <f>STDEV($P$22:$P$29)</f>
        <v>4.1726148019814007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67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8</v>
      </c>
      <c r="B37" s="38">
        <v>5546000007</v>
      </c>
      <c r="C37" s="39" t="s">
        <v>123</v>
      </c>
      <c r="D37" s="58">
        <v>27</v>
      </c>
      <c r="E37" s="8">
        <f>(D37*$E$36)/$D$36</f>
        <v>4.5</v>
      </c>
      <c r="F37" s="3">
        <f t="shared" ref="F37:F44" si="20">IF($D$46=0,50,(50+(10*(STANDARDIZE(D37,$D$45,$D$46)))))*$F$36</f>
        <v>26.767766952966369</v>
      </c>
      <c r="G37" s="12">
        <v>48</v>
      </c>
      <c r="H37" s="8">
        <f>(G37*$H$36)/$G$36</f>
        <v>4.8</v>
      </c>
      <c r="I37" s="3">
        <f t="shared" ref="I37:I44" si="21">IF($G$46=0,50,(50+(10*(STANDARDIZE(G37,$G$45,$G$46)))))*$I$36</f>
        <v>25.555066294733606</v>
      </c>
      <c r="J37" s="12">
        <v>38</v>
      </c>
      <c r="K37" s="8">
        <f>(J37*$K$36)/$J$36</f>
        <v>3.1666666666666665</v>
      </c>
      <c r="L37" s="3">
        <f t="shared" ref="L37:L44" si="22">IF($J$46=0,50,(50+(10*(STANDARDIZE(J37,$J$45,$J$46)))))*$L$36</f>
        <v>23.506916156722159</v>
      </c>
      <c r="M37" s="9"/>
      <c r="N37" s="19"/>
      <c r="O37" s="9"/>
      <c r="P37" s="2"/>
      <c r="Q37" s="19"/>
      <c r="R37" s="9"/>
    </row>
    <row r="38" spans="1:22" ht="22" x14ac:dyDescent="0.35">
      <c r="A38" s="6">
        <v>18</v>
      </c>
      <c r="B38" s="38">
        <v>5546000017</v>
      </c>
      <c r="C38" s="39" t="s">
        <v>124</v>
      </c>
      <c r="D38" s="58">
        <v>26</v>
      </c>
      <c r="E38" s="8">
        <f t="shared" ref="E38:E44" si="23">(D38*$E$36)/$D$36</f>
        <v>4.333333333333333</v>
      </c>
      <c r="F38" s="3">
        <f t="shared" si="20"/>
        <v>19.696699141100893</v>
      </c>
      <c r="G38" s="12">
        <v>46</v>
      </c>
      <c r="H38" s="8">
        <f t="shared" ref="H38:H44" si="24">(G38*$H$36)/$G$36</f>
        <v>4.5999999999999996</v>
      </c>
      <c r="I38" s="3">
        <f t="shared" si="21"/>
        <v>16.674005578995889</v>
      </c>
      <c r="J38" s="12">
        <v>40</v>
      </c>
      <c r="K38" s="8">
        <f t="shared" ref="K38:K44" si="25">(J38*$K$36)/$J$36</f>
        <v>3.3333333333333335</v>
      </c>
      <c r="L38" s="3">
        <f t="shared" si="22"/>
        <v>25</v>
      </c>
      <c r="M38" s="9"/>
      <c r="N38" s="19"/>
      <c r="O38" s="9"/>
      <c r="P38" s="2"/>
      <c r="Q38" s="19"/>
      <c r="R38" s="9"/>
    </row>
    <row r="39" spans="1:22" ht="22" x14ac:dyDescent="0.35">
      <c r="A39" s="6">
        <v>28</v>
      </c>
      <c r="B39" s="38">
        <v>5546000027</v>
      </c>
      <c r="C39" s="39" t="s">
        <v>125</v>
      </c>
      <c r="D39" s="58">
        <v>27</v>
      </c>
      <c r="E39" s="8">
        <f t="shared" si="23"/>
        <v>4.5</v>
      </c>
      <c r="F39" s="3">
        <f t="shared" si="20"/>
        <v>26.767766952966369</v>
      </c>
      <c r="G39" s="12">
        <v>48</v>
      </c>
      <c r="H39" s="8">
        <f t="shared" si="24"/>
        <v>4.8</v>
      </c>
      <c r="I39" s="3">
        <f t="shared" si="21"/>
        <v>25.555066294733606</v>
      </c>
      <c r="J39" s="12">
        <v>50</v>
      </c>
      <c r="K39" s="8">
        <f t="shared" si="25"/>
        <v>4.166666666666667</v>
      </c>
      <c r="L39" s="3">
        <f t="shared" si="22"/>
        <v>32.465419216389201</v>
      </c>
      <c r="M39" s="9"/>
      <c r="N39" s="19"/>
      <c r="O39" s="9"/>
      <c r="P39" s="2"/>
      <c r="Q39" s="19"/>
      <c r="R39" s="9"/>
    </row>
    <row r="40" spans="1:22" ht="22" x14ac:dyDescent="0.35">
      <c r="A40" s="6">
        <v>38</v>
      </c>
      <c r="B40" s="38">
        <v>5546000037</v>
      </c>
      <c r="C40" s="39" t="s">
        <v>126</v>
      </c>
      <c r="D40" s="58">
        <v>28</v>
      </c>
      <c r="E40" s="8">
        <f t="shared" si="23"/>
        <v>4.666666666666667</v>
      </c>
      <c r="F40" s="3">
        <f t="shared" si="20"/>
        <v>33.838834764831844</v>
      </c>
      <c r="G40" s="12">
        <v>47</v>
      </c>
      <c r="H40" s="8">
        <f t="shared" si="24"/>
        <v>4.7</v>
      </c>
      <c r="I40" s="3">
        <f t="shared" si="21"/>
        <v>21.114535936864748</v>
      </c>
      <c r="J40" s="12">
        <v>40</v>
      </c>
      <c r="K40" s="8">
        <f t="shared" si="25"/>
        <v>3.3333333333333335</v>
      </c>
      <c r="L40" s="3">
        <f t="shared" si="22"/>
        <v>25</v>
      </c>
      <c r="M40" s="9"/>
      <c r="N40" s="19"/>
      <c r="O40" s="9"/>
      <c r="P40" s="2"/>
      <c r="Q40" s="19"/>
      <c r="R40" s="9"/>
    </row>
    <row r="41" spans="1:22" ht="22" x14ac:dyDescent="0.35">
      <c r="A41" s="6">
        <v>48</v>
      </c>
      <c r="B41" s="38">
        <v>5546000047</v>
      </c>
      <c r="C41" s="39" t="s">
        <v>127</v>
      </c>
      <c r="D41" s="58">
        <v>26</v>
      </c>
      <c r="E41" s="8">
        <f t="shared" si="23"/>
        <v>4.333333333333333</v>
      </c>
      <c r="F41" s="3">
        <f t="shared" si="20"/>
        <v>19.696699141100893</v>
      </c>
      <c r="G41" s="12">
        <v>47</v>
      </c>
      <c r="H41" s="8">
        <f t="shared" si="24"/>
        <v>4.7</v>
      </c>
      <c r="I41" s="3">
        <f t="shared" si="21"/>
        <v>21.114535936864748</v>
      </c>
      <c r="J41" s="12">
        <v>28</v>
      </c>
      <c r="K41" s="8">
        <f t="shared" si="25"/>
        <v>2.3333333333333335</v>
      </c>
      <c r="L41" s="3">
        <f t="shared" si="22"/>
        <v>16.041496940332962</v>
      </c>
      <c r="M41" s="9"/>
      <c r="N41" s="19"/>
      <c r="O41" s="9"/>
      <c r="P41" s="2"/>
      <c r="Q41" s="19"/>
      <c r="R41" s="9"/>
    </row>
    <row r="42" spans="1:22" ht="22" x14ac:dyDescent="0.35">
      <c r="A42" s="6">
        <v>58</v>
      </c>
      <c r="B42" s="38">
        <v>5546000057</v>
      </c>
      <c r="C42" s="39" t="s">
        <v>128</v>
      </c>
      <c r="D42" s="58">
        <v>26</v>
      </c>
      <c r="E42" s="8">
        <f t="shared" si="23"/>
        <v>4.333333333333333</v>
      </c>
      <c r="F42" s="3">
        <f t="shared" si="20"/>
        <v>19.696699141100893</v>
      </c>
      <c r="G42" s="12">
        <v>49</v>
      </c>
      <c r="H42" s="8">
        <f t="shared" si="24"/>
        <v>4.9000000000000004</v>
      </c>
      <c r="I42" s="3">
        <f t="shared" si="21"/>
        <v>29.995596652602465</v>
      </c>
      <c r="J42" s="12">
        <v>35</v>
      </c>
      <c r="K42" s="8">
        <f t="shared" si="25"/>
        <v>2.9166666666666665</v>
      </c>
      <c r="L42" s="3">
        <f t="shared" si="22"/>
        <v>21.2672903918054</v>
      </c>
      <c r="M42" s="9"/>
      <c r="N42" s="19"/>
      <c r="O42" s="9"/>
      <c r="P42" s="2"/>
      <c r="Q42" s="19"/>
      <c r="R42" s="9"/>
    </row>
    <row r="43" spans="1:22" ht="22" x14ac:dyDescent="0.35">
      <c r="A43" s="6">
        <v>68</v>
      </c>
      <c r="B43" s="38">
        <v>5546000067</v>
      </c>
      <c r="C43" s="39" t="s">
        <v>129</v>
      </c>
      <c r="D43" s="58">
        <v>27</v>
      </c>
      <c r="E43" s="8">
        <f t="shared" si="23"/>
        <v>4.5</v>
      </c>
      <c r="F43" s="3">
        <f t="shared" si="20"/>
        <v>26.767766952966369</v>
      </c>
      <c r="G43" s="12">
        <v>49</v>
      </c>
      <c r="H43" s="8">
        <f t="shared" si="24"/>
        <v>4.9000000000000004</v>
      </c>
      <c r="I43" s="3">
        <f t="shared" si="21"/>
        <v>29.995596652602465</v>
      </c>
      <c r="J43" s="12">
        <v>45</v>
      </c>
      <c r="K43" s="8">
        <f t="shared" si="25"/>
        <v>3.75</v>
      </c>
      <c r="L43" s="3">
        <f t="shared" si="22"/>
        <v>28.7327096081946</v>
      </c>
      <c r="M43" s="9"/>
      <c r="N43" s="19"/>
      <c r="O43" s="9"/>
      <c r="P43" s="2"/>
      <c r="Q43" s="19"/>
      <c r="R43" s="9"/>
    </row>
    <row r="44" spans="1:22" ht="22" x14ac:dyDescent="0.35">
      <c r="A44" s="6">
        <v>78</v>
      </c>
      <c r="B44" s="38">
        <v>5546000077</v>
      </c>
      <c r="C44" s="39" t="s">
        <v>130</v>
      </c>
      <c r="D44" s="58">
        <v>27</v>
      </c>
      <c r="E44" s="8">
        <f t="shared" si="23"/>
        <v>4.5</v>
      </c>
      <c r="F44" s="3">
        <f t="shared" si="20"/>
        <v>26.767766952966369</v>
      </c>
      <c r="G44" s="12">
        <v>49</v>
      </c>
      <c r="H44" s="8">
        <f t="shared" si="24"/>
        <v>4.9000000000000004</v>
      </c>
      <c r="I44" s="3">
        <f t="shared" si="21"/>
        <v>29.995596652602465</v>
      </c>
      <c r="J44" s="12">
        <v>44</v>
      </c>
      <c r="K44" s="8">
        <f t="shared" si="25"/>
        <v>3.6666666666666665</v>
      </c>
      <c r="L44" s="3">
        <f t="shared" si="22"/>
        <v>27.986167686555682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26.75</v>
      </c>
      <c r="G45" s="9">
        <f>AVERAGE($G$37:$G$44)</f>
        <v>47.875</v>
      </c>
      <c r="J45" s="9">
        <f>AVERAGE($J$37:$J$44)</f>
        <v>40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0.70710678118654757</v>
      </c>
      <c r="F46" s="5"/>
      <c r="G46" s="9">
        <f>STDEV($G$37:$G$44)</f>
        <v>1.1259916264596033</v>
      </c>
      <c r="J46" s="9">
        <f>STDEV($J$37:$J$44)</f>
        <v>6.6975475255605952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47">
        <v>8</v>
      </c>
      <c r="B97" s="59">
        <v>5546000007</v>
      </c>
      <c r="C97" s="60" t="s">
        <v>123</v>
      </c>
      <c r="D97" s="61">
        <f t="shared" ref="D97:E103" si="27">ROUND(SUM(E8,H8,K8,N8,Q8,E22,H22,K22,N22,Q22,E37,H37,K37,N37,Q37,E52,H52,K52,N52,Q52,E67,H67,K67,N67,Q67,E82,H82,K82,N82,Q82),2)</f>
        <v>88.85</v>
      </c>
      <c r="E97" s="61">
        <f t="shared" si="27"/>
        <v>497.77</v>
      </c>
      <c r="F97" s="46" t="str">
        <f>IF($I$100="-","-",IF(E97&gt;=$I$97,$K$97,IF(E97&gt;=$I$98,$K$98,IF(E97&gt;=$I$99,$K$99,IF(E97&gt;=$I$100,$K$100,IF(E97&gt;=$I$101,$K$101,IF(E97&gt;=$I$102,$K$102,IF(E97&gt;=$I$103,$K$103,IF(E97&gt;=$I$104,$K$104)))))))))</f>
        <v>-</v>
      </c>
      <c r="G97" s="46" t="str">
        <f>IF($O$100="-","-",IF(E97&gt;=$N$97,$Q$97,IF(E97&gt;=$N$98,$Q$98,IF(E97&gt;=$N$99,$Q$99,IF(E97&gt;=$N$100,$Q$100,IF(E97&gt;=$N$101,$Q$101,IF(E97&gt;=$N$102,$Q$102,IF(E97&lt;=$P$103,$Q$103))))))))</f>
        <v>B+</v>
      </c>
      <c r="H97" s="1" t="s">
        <v>111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 t="str">
        <f t="shared" ref="L97:L103" si="28">IF(F97="-","-",COUNTIF($F$97:$F$104,K97))</f>
        <v>-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>
        <f t="shared" ref="R97:R103" si="29">IF(G97="-","-",COUNTIF($G$97:$G$104,Q97))</f>
        <v>1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47">
        <v>18</v>
      </c>
      <c r="B98" s="59">
        <v>5546000017</v>
      </c>
      <c r="C98" s="60" t="s">
        <v>124</v>
      </c>
      <c r="D98" s="61">
        <f t="shared" si="27"/>
        <v>86.59</v>
      </c>
      <c r="E98" s="61">
        <f t="shared" si="27"/>
        <v>385.26</v>
      </c>
      <c r="F98" s="46" t="str">
        <f t="shared" ref="F98:F104" si="30">IF($I$100="-","-",IF(E98&gt;=$I$97,$K$97,IF(E98&gt;=$I$98,$K$98,IF(E98&gt;=$I$99,$K$99,IF(E98&gt;=$I$100,$K$100,IF(E98&gt;=$I$101,$K$101,IF(E98&gt;=$I$102,$K$102,IF(E98&gt;=$I$103,$K$103,IF(E98&gt;=$I$104,$K$104)))))))))</f>
        <v>-</v>
      </c>
      <c r="G98" s="46" t="str">
        <f t="shared" ref="G98:G104" si="31">IF($O$100="-","-",IF(E98&gt;=$N$97,$Q$97,IF(E98&gt;=$N$98,$Q$98,IF(E98&gt;=$N$99,$Q$99,IF(E98&gt;=$N$100,$Q$100,IF(E98&gt;=$N$101,$Q$101,IF(E98&gt;=$N$102,$Q$102,IF(E98&lt;=$P$103,$Q$103))))))))</f>
        <v>-</v>
      </c>
      <c r="H98" s="1" t="s">
        <v>110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 t="str">
        <f t="shared" si="28"/>
        <v>-</v>
      </c>
      <c r="M98" s="20" t="e">
        <f t="shared" ref="M98:M104" si="32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 t="str">
        <f t="shared" si="29"/>
        <v>-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28</v>
      </c>
      <c r="B99" s="38">
        <v>5546000027</v>
      </c>
      <c r="C99" s="39" t="s">
        <v>125</v>
      </c>
      <c r="D99" s="8">
        <f t="shared" si="27"/>
        <v>90.27</v>
      </c>
      <c r="E99" s="8">
        <f t="shared" si="27"/>
        <v>517.78</v>
      </c>
      <c r="F99" s="7" t="str">
        <f t="shared" si="30"/>
        <v>-</v>
      </c>
      <c r="G99" s="7" t="str">
        <f t="shared" si="31"/>
        <v>B+</v>
      </c>
      <c r="H99" s="1" t="s">
        <v>111</v>
      </c>
      <c r="I99" s="6" t="str">
        <f>IF(OR($E$110=8,$E$110=6,$E$110=4),$J$100+0.01,"-")</f>
        <v>-</v>
      </c>
      <c r="J99" s="6" t="str">
        <f>IF(OR($E$110=8,$E$110=6,$E$110=4),$I$99+$E$111,"-")</f>
        <v>-</v>
      </c>
      <c r="K99" s="7" t="str">
        <f>IF($E$110=8,$T$95,IF($E$110=6,$T$94,IF($E$110=4,$T$93,"-")))</f>
        <v>-</v>
      </c>
      <c r="L99" s="7" t="str">
        <f t="shared" si="28"/>
        <v>-</v>
      </c>
      <c r="M99" s="20">
        <f t="shared" si="32"/>
        <v>68.88</v>
      </c>
      <c r="N99" s="8">
        <f>IF(OR($E$110=3,$E$110=5,$E$110=7),$P$100+0.01,"-")</f>
        <v>534.45000000000005</v>
      </c>
      <c r="O99" s="13"/>
      <c r="P99" s="8">
        <f>IF(OR($E$110=3,$E$110=5,$E$110=7),$N$99+$E$111,"-")</f>
        <v>603.33000000000004</v>
      </c>
      <c r="Q99" s="7" t="str">
        <f>IF($E$110=7,$T$95,IF($E$110=5,$T$94,IF($E$110=3,$T$93,"-")))</f>
        <v>A</v>
      </c>
      <c r="R99" s="7">
        <f t="shared" si="29"/>
        <v>3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38</v>
      </c>
      <c r="B100" s="38">
        <v>5546000037</v>
      </c>
      <c r="C100" s="39" t="s">
        <v>126</v>
      </c>
      <c r="D100" s="8">
        <f t="shared" si="27"/>
        <v>88.54</v>
      </c>
      <c r="E100" s="8">
        <f t="shared" si="27"/>
        <v>468.95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-</v>
      </c>
      <c r="G100" s="7" t="str">
        <f t="shared" si="31"/>
        <v>B+</v>
      </c>
      <c r="H100" s="1" t="s">
        <v>111</v>
      </c>
      <c r="I100" s="31" t="str">
        <f>IF(OR($E$110=2,$E$110=4,$E$110=6,$E$110=8),$E$106,"-")</f>
        <v>-</v>
      </c>
      <c r="J100" s="8" t="str">
        <f>IF(OR($E$110=2,$E$110=4,$E$110=6,$E$110=8),$E$106+$E$111,"-")</f>
        <v>-</v>
      </c>
      <c r="K100" s="7" t="str">
        <f>IF($E$110=8,$T$96,IF($E$110=6,$T$95,IF($E$110=4,$T$94,IF($E$110=2,$T$93,"-"))))</f>
        <v>-</v>
      </c>
      <c r="L100" s="7" t="str">
        <f t="shared" si="28"/>
        <v>-</v>
      </c>
      <c r="M100" s="20">
        <f t="shared" si="32"/>
        <v>68.880000000000052</v>
      </c>
      <c r="N100" s="8">
        <f>IF(OR($E$110=1,$E$110=3,$E$110=5,$E$110=7),$E$106-($E$111/2),"-")</f>
        <v>465.56</v>
      </c>
      <c r="O100" s="31">
        <f>IF(OR($E$110=1,$E$110=3,$E$110=5,$E$110=7),$E$106,"-")</f>
        <v>500</v>
      </c>
      <c r="P100" s="8">
        <f>IF(OR($E$110=1,$E$110=3,$E$110=5,$E$110=7),$E$106+($E$111/2),"-")</f>
        <v>534.44000000000005</v>
      </c>
      <c r="Q100" s="7" t="str">
        <f>IF($E$110=7,$T$96,IF($E$110=5,$T$95,IF($E$110=3,$T$94,IF($E$110=1,$T$93,"-"))))</f>
        <v>B+</v>
      </c>
      <c r="R100" s="7">
        <f t="shared" si="29"/>
        <v>3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48</v>
      </c>
      <c r="B101" s="38">
        <v>5546000047</v>
      </c>
      <c r="C101" s="39" t="s">
        <v>127</v>
      </c>
      <c r="D101" s="8">
        <f t="shared" si="27"/>
        <v>86.57</v>
      </c>
      <c r="E101" s="8">
        <f t="shared" si="27"/>
        <v>423.81</v>
      </c>
      <c r="F101" s="7" t="str">
        <f t="shared" si="30"/>
        <v>-</v>
      </c>
      <c r="G101" s="7" t="str">
        <f t="shared" si="31"/>
        <v>B</v>
      </c>
      <c r="H101" s="1" t="s">
        <v>110</v>
      </c>
      <c r="I101" s="6" t="str">
        <f>IF(OR($E$110=2,$E$110=4,$E$110=6,$E$110=8),$J$101-$E$111,"-")</f>
        <v>-</v>
      </c>
      <c r="J101" s="8" t="str">
        <f>IF(OR($E$110=2,$E$110=4,$E$110=6,$E$110=8),$I$100-0.01,"-")</f>
        <v>-</v>
      </c>
      <c r="K101" s="7" t="str">
        <f>IF($E$110=8,$T$97,IF($E$110=6,$T$96,IF($E$110=4,$T$95,IF($E$110=2,$T$94,"-"))))</f>
        <v>-</v>
      </c>
      <c r="L101" s="7" t="str">
        <f t="shared" si="28"/>
        <v>-</v>
      </c>
      <c r="M101" s="20">
        <f t="shared" si="32"/>
        <v>68.88</v>
      </c>
      <c r="N101" s="8">
        <f>IF(OR($E$110=3,$E$110=5,$E$110=7),$P$101-$E$111,"-")</f>
        <v>396.67</v>
      </c>
      <c r="O101" s="13"/>
      <c r="P101" s="8">
        <f>IF(OR($E$110=3,$E$110=5,$E$110=7),$N$100-0.01,"-")</f>
        <v>465.55</v>
      </c>
      <c r="Q101" s="7" t="str">
        <f>IF($E$110=7,$T$97,IF($E$110=5,$T$96,IF($E$110=3,$T$95,"-")))</f>
        <v>B</v>
      </c>
      <c r="R101" s="7">
        <f t="shared" si="29"/>
        <v>1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58</v>
      </c>
      <c r="B102" s="38">
        <v>5546000057</v>
      </c>
      <c r="C102" s="39" t="s">
        <v>128</v>
      </c>
      <c r="D102" s="8">
        <f t="shared" si="27"/>
        <v>90</v>
      </c>
      <c r="E102" s="8">
        <f t="shared" si="27"/>
        <v>543.73</v>
      </c>
      <c r="F102" s="7" t="str">
        <f t="shared" si="30"/>
        <v>-</v>
      </c>
      <c r="G102" s="7" t="str">
        <f t="shared" si="31"/>
        <v>A</v>
      </c>
      <c r="H102" s="1" t="s">
        <v>8</v>
      </c>
      <c r="I102" s="47" t="str">
        <f>IF(OR($E$110=4,$E$110=6,$E$110=8),$J$102-$E$111,"-")</f>
        <v>-</v>
      </c>
      <c r="J102" s="6" t="str">
        <f>IF(OR($E$110=8,$E$110=6,$E$110=4),$I$101-0.01,"-")</f>
        <v>-</v>
      </c>
      <c r="K102" s="7" t="str">
        <f>IF($E$110=8,$T$98,IF($E$110=6,$T$97,IF($E$110=4,$T$96,"-")))</f>
        <v>-</v>
      </c>
      <c r="L102" s="7" t="str">
        <f t="shared" si="28"/>
        <v>-</v>
      </c>
      <c r="M102" s="20" t="e">
        <f t="shared" si="32"/>
        <v>#VALUE!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>
        <f t="shared" si="29"/>
        <v>1</v>
      </c>
    </row>
    <row r="103" spans="1:20" ht="23" thickBot="1" x14ac:dyDescent="0.4">
      <c r="A103" s="6">
        <v>68</v>
      </c>
      <c r="B103" s="38">
        <v>5546000067</v>
      </c>
      <c r="C103" s="39" t="s">
        <v>129</v>
      </c>
      <c r="D103" s="8">
        <f t="shared" si="27"/>
        <v>91.77</v>
      </c>
      <c r="E103" s="8">
        <f t="shared" si="27"/>
        <v>570.79999999999995</v>
      </c>
      <c r="F103" s="7" t="str">
        <f t="shared" si="30"/>
        <v>-</v>
      </c>
      <c r="G103" s="7" t="str">
        <f t="shared" si="31"/>
        <v>A</v>
      </c>
      <c r="H103" s="1" t="s">
        <v>8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 t="str">
        <f t="shared" si="28"/>
        <v>-</v>
      </c>
      <c r="M103" s="20" t="e">
        <f t="shared" si="32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>
        <f t="shared" si="29"/>
        <v>1</v>
      </c>
    </row>
    <row r="104" spans="1:20" ht="23" thickBot="1" x14ac:dyDescent="0.4">
      <c r="A104" s="6">
        <v>78</v>
      </c>
      <c r="B104" s="38">
        <v>5546000077</v>
      </c>
      <c r="C104" s="39" t="s">
        <v>130</v>
      </c>
      <c r="D104" s="8">
        <f>ROUND(SUM(E15,H15,K15,N15,Q15,E29,H29,K29,N29,Q29,E44,H44,K44,N44,Q44,E58,H58,K58,N58,Q58,E73,H73,K73,N73,Q73,E88,H88,K88,N88,Q88),2)</f>
        <v>92.1</v>
      </c>
      <c r="E104" s="8">
        <f>ROUND(SUM(F15,I15,L15,O15,R15,F29,I29,L29,O29,R29,F44,I44,L44,O44,R44,F58,I58,L58,O58,R58,F73,I73,L73,O73,R73,F88,I88,L88,O88,R88),2)</f>
        <v>591.9</v>
      </c>
      <c r="F104" s="7" t="str">
        <f t="shared" si="30"/>
        <v>-</v>
      </c>
      <c r="G104" s="7" t="str">
        <f t="shared" si="31"/>
        <v>A</v>
      </c>
      <c r="H104" s="1" t="s">
        <v>8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 t="e">
        <f>IF(#REF!="-","-",COUNTIF($F$97:$F$104,K104))</f>
        <v>#REF!</v>
      </c>
      <c r="M104" s="20" t="e">
        <f t="shared" si="32"/>
        <v>#VALUE!</v>
      </c>
      <c r="N104" s="218" t="s">
        <v>1</v>
      </c>
      <c r="O104" s="219"/>
      <c r="P104" s="219"/>
      <c r="Q104" s="220"/>
      <c r="R104" s="33">
        <f>SUM($R$97:$R$103)</f>
        <v>10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 t="e">
        <f>SUM($L$97:$L$104)</f>
        <v>#REF!</v>
      </c>
    </row>
    <row r="106" spans="1:20" x14ac:dyDescent="0.35">
      <c r="C106" s="4" t="s">
        <v>13</v>
      </c>
      <c r="D106" s="37">
        <f>ROUND(AVERAGE($D$97:$D$104),2)</f>
        <v>89.34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92.1</v>
      </c>
      <c r="E107" s="37">
        <f>ROUND(MAX($E$97:$E$104),2)</f>
        <v>591.9</v>
      </c>
      <c r="I107" s="45"/>
      <c r="J107" s="45"/>
    </row>
    <row r="108" spans="1:20" x14ac:dyDescent="0.35">
      <c r="C108" s="4" t="s">
        <v>19</v>
      </c>
      <c r="D108" s="37">
        <f>ROUND(MIN($D$97:$D$104),2)</f>
        <v>86.57</v>
      </c>
      <c r="E108" s="37">
        <f>ROUND(MIN($E$97:$E$104),2)</f>
        <v>385.26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206.64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3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68.88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D33:F33"/>
    <mergeCell ref="A34:A36"/>
    <mergeCell ref="B34:B36"/>
    <mergeCell ref="C34:C36"/>
    <mergeCell ref="D34:F34"/>
    <mergeCell ref="G34:I34"/>
    <mergeCell ref="J34:L34"/>
    <mergeCell ref="M34:O34"/>
    <mergeCell ref="P34:R34"/>
    <mergeCell ref="M49:O49"/>
    <mergeCell ref="P49:R4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N104:Q104"/>
    <mergeCell ref="I105:K105"/>
    <mergeCell ref="N111:R111"/>
    <mergeCell ref="N112:R112"/>
    <mergeCell ref="N113:R113"/>
  </mergeCells>
  <pageMargins left="0.70866141732283472" right="0.70866141732283472" top="0.31496062992125984" bottom="0.19685039370078741" header="0.31496062992125984" footer="0.19685039370078741"/>
  <pageSetup paperSize="9" scale="79" orientation="landscape" r:id="rId1"/>
  <rowBreaks count="3" manualBreakCount="3">
    <brk id="32" max="16383" man="1"/>
    <brk id="62" max="17" man="1"/>
    <brk id="92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V113"/>
  <sheetViews>
    <sheetView view="pageBreakPreview" topLeftCell="A94" zoomScale="90" zoomScaleNormal="90" zoomScaleSheetLayoutView="90" workbookViewId="0">
      <selection activeCell="C97" sqref="C97:G104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7.33203125" style="1" customWidth="1"/>
    <col min="5" max="5" width="6.5" style="1" customWidth="1"/>
    <col min="6" max="6" width="8.83203125" style="1" customWidth="1"/>
    <col min="7" max="7" width="7.6640625" style="1" customWidth="1"/>
    <col min="8" max="8" width="6.6640625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6" style="1" customWidth="1"/>
    <col min="17" max="18" width="7.6640625" style="1" customWidth="1"/>
    <col min="19" max="19" width="5.33203125" style="1" customWidth="1"/>
    <col min="20" max="20" width="4.83203125" style="1" customWidth="1"/>
    <col min="21" max="16384" width="9" style="1"/>
  </cols>
  <sheetData>
    <row r="1" spans="1:22" x14ac:dyDescent="0.35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5">
      <c r="A2" s="20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2" x14ac:dyDescent="0.35">
      <c r="A3" s="202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2" ht="25.5" customHeight="1" x14ac:dyDescent="0.35">
      <c r="D4" s="203" t="s">
        <v>55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22" x14ac:dyDescent="0.35">
      <c r="A5" s="204" t="s">
        <v>76</v>
      </c>
      <c r="B5" s="204" t="s">
        <v>12</v>
      </c>
      <c r="C5" s="204" t="s">
        <v>0</v>
      </c>
      <c r="D5" s="205" t="s">
        <v>56</v>
      </c>
      <c r="E5" s="205"/>
      <c r="F5" s="205"/>
      <c r="G5" s="205" t="s">
        <v>57</v>
      </c>
      <c r="H5" s="205"/>
      <c r="I5" s="205"/>
      <c r="J5" s="205" t="s">
        <v>58</v>
      </c>
      <c r="K5" s="205"/>
      <c r="L5" s="205"/>
      <c r="M5" s="205" t="s">
        <v>59</v>
      </c>
      <c r="N5" s="205"/>
      <c r="O5" s="205"/>
      <c r="P5" s="205" t="s">
        <v>52</v>
      </c>
      <c r="Q5" s="205"/>
      <c r="R5" s="205"/>
    </row>
    <row r="6" spans="1:22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</row>
    <row r="7" spans="1:22" x14ac:dyDescent="0.35">
      <c r="A7" s="204"/>
      <c r="B7" s="204"/>
      <c r="C7" s="204"/>
      <c r="D7" s="14">
        <v>75</v>
      </c>
      <c r="E7" s="14">
        <v>20</v>
      </c>
      <c r="F7" s="34">
        <f>$E$7/10</f>
        <v>2</v>
      </c>
      <c r="G7" s="14">
        <v>30</v>
      </c>
      <c r="H7" s="14">
        <v>10</v>
      </c>
      <c r="I7" s="34">
        <f>$H$7/10</f>
        <v>1</v>
      </c>
      <c r="J7" s="14">
        <v>50</v>
      </c>
      <c r="K7" s="14">
        <v>5</v>
      </c>
      <c r="L7" s="34">
        <f>$K$7/10</f>
        <v>0.5</v>
      </c>
      <c r="M7" s="14">
        <v>100</v>
      </c>
      <c r="N7" s="14">
        <v>10</v>
      </c>
      <c r="O7" s="34">
        <f>$N$7/10</f>
        <v>1</v>
      </c>
      <c r="P7" s="14">
        <v>50</v>
      </c>
      <c r="Q7" s="14">
        <v>10</v>
      </c>
      <c r="R7" s="34">
        <f>$Q$7/10</f>
        <v>1</v>
      </c>
      <c r="V7" s="1" t="s">
        <v>2</v>
      </c>
    </row>
    <row r="8" spans="1:22" ht="22" x14ac:dyDescent="0.35">
      <c r="A8" s="6">
        <v>8</v>
      </c>
      <c r="B8" s="38">
        <v>5546000007</v>
      </c>
      <c r="C8" s="39" t="s">
        <v>123</v>
      </c>
      <c r="D8" s="12">
        <v>71.5</v>
      </c>
      <c r="E8" s="8">
        <f>(D8*$E$7)/$D$7</f>
        <v>19.066666666666666</v>
      </c>
      <c r="F8" s="3">
        <f t="shared" ref="F8:F15" si="0">IF($D$17=0,50,(50+(10*(STANDARDIZE(D8,$D$16,$D$17)))))*$F$7</f>
        <v>104.80205428201002</v>
      </c>
      <c r="G8" s="12">
        <v>26.33</v>
      </c>
      <c r="H8" s="8">
        <f>(G8*$H$7)/$G$7</f>
        <v>8.7766666666666655</v>
      </c>
      <c r="I8" s="3">
        <f t="shared" ref="I8:I15" si="1">IF($G$17=0,50,(50+(10*(STANDARDIZE(G8,$G$16,$G$17)))))*$I$7</f>
        <v>45.848903349366836</v>
      </c>
      <c r="J8" s="12">
        <v>45.5</v>
      </c>
      <c r="K8" s="8">
        <f>(J8*$K$7)/$J$7</f>
        <v>4.55</v>
      </c>
      <c r="L8" s="3">
        <f t="shared" ref="L8:L15" si="2">IF($J$17=0,50,(50+(10*(STANDARDIZE(J8,$J$16,$J$17)))))*$L$7</f>
        <v>27.355798575600105</v>
      </c>
      <c r="M8" s="12">
        <v>88</v>
      </c>
      <c r="N8" s="8">
        <f>(M8*$N$7)/$M$7</f>
        <v>8.8000000000000007</v>
      </c>
      <c r="O8" s="3">
        <f t="shared" ref="O8:O15" si="3">IF($M$17=0,50,(50+(10*(STANDARDIZE(M8,$M$16,$M$17)))))*$O$7</f>
        <v>51.744253429928236</v>
      </c>
      <c r="P8" s="12">
        <v>47</v>
      </c>
      <c r="Q8" s="8">
        <f>(P8*$Q$7)/$P$7</f>
        <v>9.4</v>
      </c>
      <c r="R8" s="3">
        <f t="shared" ref="R8:R15" si="4">IF($P$17=0,50,(50+(10*(STANDARDIZE(P8,$P$16,$P$17)))))*$R$7</f>
        <v>50</v>
      </c>
    </row>
    <row r="9" spans="1:22" ht="22" x14ac:dyDescent="0.35">
      <c r="A9" s="62">
        <v>18</v>
      </c>
      <c r="B9" s="63">
        <v>5546000017</v>
      </c>
      <c r="C9" s="64" t="s">
        <v>124</v>
      </c>
      <c r="D9" s="65">
        <v>70.099999999999994</v>
      </c>
      <c r="E9" s="65">
        <f t="shared" ref="E9:E15" si="5">(D9*$E$7)/$D$7</f>
        <v>18.693333333333332</v>
      </c>
      <c r="F9" s="66">
        <f t="shared" si="0"/>
        <v>69.418496414567201</v>
      </c>
      <c r="G9" s="65">
        <v>25.5</v>
      </c>
      <c r="H9" s="65">
        <v>8.42</v>
      </c>
      <c r="I9" s="66">
        <f t="shared" si="1"/>
        <v>37.153861784633705</v>
      </c>
      <c r="J9" s="65">
        <v>41.15</v>
      </c>
      <c r="K9" s="65">
        <f t="shared" ref="K9:K15" si="6">(J9*$K$7)/$J$7</f>
        <v>4.1150000000000002</v>
      </c>
      <c r="L9" s="66">
        <f t="shared" si="2"/>
        <v>16.232082099225202</v>
      </c>
      <c r="M9" s="65">
        <v>83</v>
      </c>
      <c r="N9" s="65">
        <f t="shared" ref="N9:N15" si="7">(M9*$N$7)/$M$7</f>
        <v>8.3000000000000007</v>
      </c>
      <c r="O9" s="66">
        <f t="shared" si="3"/>
        <v>37.790225990502357</v>
      </c>
      <c r="P9" s="65">
        <v>48</v>
      </c>
      <c r="Q9" s="65">
        <f t="shared" ref="Q9:Q15" si="8">(P9*$Q$7)/$P$7</f>
        <v>9.6</v>
      </c>
      <c r="R9" s="66">
        <f t="shared" si="4"/>
        <v>56.236095644623234</v>
      </c>
    </row>
    <row r="10" spans="1:22" ht="22" x14ac:dyDescent="0.35">
      <c r="A10" s="6">
        <v>28</v>
      </c>
      <c r="B10" s="38">
        <v>5546000027</v>
      </c>
      <c r="C10" s="39" t="s">
        <v>125</v>
      </c>
      <c r="D10" s="12">
        <v>71.599999999999994</v>
      </c>
      <c r="E10" s="8">
        <f t="shared" si="5"/>
        <v>19.093333333333334</v>
      </c>
      <c r="F10" s="3">
        <f t="shared" si="0"/>
        <v>107.32945127254149</v>
      </c>
      <c r="G10" s="12">
        <v>27.83</v>
      </c>
      <c r="H10" s="8">
        <f t="shared" ref="H10:H15" si="9">(G10*$H$7)/$G$7</f>
        <v>9.2766666666666655</v>
      </c>
      <c r="I10" s="3">
        <f t="shared" si="1"/>
        <v>61.562833888041197</v>
      </c>
      <c r="J10" s="12">
        <v>45.16</v>
      </c>
      <c r="K10" s="8">
        <f t="shared" si="6"/>
        <v>4.516</v>
      </c>
      <c r="L10" s="3">
        <f t="shared" si="2"/>
        <v>26.486358667101829</v>
      </c>
      <c r="M10" s="12">
        <v>89</v>
      </c>
      <c r="N10" s="8">
        <f t="shared" si="7"/>
        <v>8.9</v>
      </c>
      <c r="O10" s="3">
        <f t="shared" si="3"/>
        <v>54.535058917813409</v>
      </c>
      <c r="P10" s="12">
        <v>44</v>
      </c>
      <c r="Q10" s="8">
        <f t="shared" si="8"/>
        <v>8.8000000000000007</v>
      </c>
      <c r="R10" s="3">
        <f t="shared" si="4"/>
        <v>31.291713066130292</v>
      </c>
    </row>
    <row r="11" spans="1:22" ht="22" x14ac:dyDescent="0.35">
      <c r="A11" s="6">
        <v>38</v>
      </c>
      <c r="B11" s="38">
        <v>5546000037</v>
      </c>
      <c r="C11" s="39" t="s">
        <v>126</v>
      </c>
      <c r="D11" s="12">
        <v>70.33</v>
      </c>
      <c r="E11" s="8">
        <f t="shared" si="5"/>
        <v>18.754666666666665</v>
      </c>
      <c r="F11" s="3">
        <f t="shared" si="0"/>
        <v>75.231509492790025</v>
      </c>
      <c r="G11" s="12">
        <v>26</v>
      </c>
      <c r="H11" s="8">
        <f t="shared" si="9"/>
        <v>8.6666666666666661</v>
      </c>
      <c r="I11" s="3">
        <f t="shared" si="1"/>
        <v>42.391838630858494</v>
      </c>
      <c r="J11" s="12">
        <v>45</v>
      </c>
      <c r="K11" s="8">
        <f t="shared" si="6"/>
        <v>4.5</v>
      </c>
      <c r="L11" s="3">
        <f t="shared" si="2"/>
        <v>26.077210474867361</v>
      </c>
      <c r="M11" s="12">
        <v>83</v>
      </c>
      <c r="N11" s="8">
        <f t="shared" si="7"/>
        <v>8.3000000000000007</v>
      </c>
      <c r="O11" s="3">
        <f t="shared" si="3"/>
        <v>37.790225990502357</v>
      </c>
      <c r="P11" s="12">
        <v>46</v>
      </c>
      <c r="Q11" s="8">
        <f t="shared" si="8"/>
        <v>9.1999999999999993</v>
      </c>
      <c r="R11" s="3">
        <f t="shared" si="4"/>
        <v>43.763904355376766</v>
      </c>
    </row>
    <row r="12" spans="1:22" ht="22" x14ac:dyDescent="0.35">
      <c r="A12" s="6">
        <v>48</v>
      </c>
      <c r="B12" s="38">
        <v>5546000047</v>
      </c>
      <c r="C12" s="39" t="s">
        <v>127</v>
      </c>
      <c r="D12" s="12">
        <v>70.83</v>
      </c>
      <c r="E12" s="8">
        <f t="shared" si="5"/>
        <v>18.887999999999998</v>
      </c>
      <c r="F12" s="3">
        <f t="shared" si="0"/>
        <v>87.868494445448121</v>
      </c>
      <c r="G12" s="12">
        <v>26.16</v>
      </c>
      <c r="H12" s="8">
        <f t="shared" si="9"/>
        <v>8.7200000000000006</v>
      </c>
      <c r="I12" s="3">
        <f t="shared" si="1"/>
        <v>44.067991221650431</v>
      </c>
      <c r="J12" s="12">
        <v>41.83</v>
      </c>
      <c r="K12" s="8">
        <f t="shared" si="6"/>
        <v>4.1829999999999998</v>
      </c>
      <c r="L12" s="3">
        <f t="shared" si="2"/>
        <v>17.970961916221739</v>
      </c>
      <c r="M12" s="12">
        <v>84</v>
      </c>
      <c r="N12" s="8">
        <f t="shared" si="7"/>
        <v>8.4</v>
      </c>
      <c r="O12" s="3">
        <f t="shared" si="3"/>
        <v>40.58103147838753</v>
      </c>
      <c r="P12" s="12">
        <v>46</v>
      </c>
      <c r="Q12" s="8">
        <f t="shared" si="8"/>
        <v>9.1999999999999993</v>
      </c>
      <c r="R12" s="3">
        <f t="shared" si="4"/>
        <v>43.763904355376766</v>
      </c>
    </row>
    <row r="13" spans="1:22" ht="22" x14ac:dyDescent="0.35">
      <c r="A13" s="6">
        <v>58</v>
      </c>
      <c r="B13" s="38">
        <v>5546000057</v>
      </c>
      <c r="C13" s="39" t="s">
        <v>128</v>
      </c>
      <c r="D13" s="12">
        <v>72.12</v>
      </c>
      <c r="E13" s="8">
        <f t="shared" si="5"/>
        <v>19.232000000000003</v>
      </c>
      <c r="F13" s="3">
        <f t="shared" si="0"/>
        <v>120.47191562330617</v>
      </c>
      <c r="G13" s="12">
        <v>26.66</v>
      </c>
      <c r="H13" s="8">
        <f t="shared" si="9"/>
        <v>8.8866666666666667</v>
      </c>
      <c r="I13" s="3">
        <f t="shared" si="1"/>
        <v>49.305968067875213</v>
      </c>
      <c r="J13" s="12">
        <v>46.16</v>
      </c>
      <c r="K13" s="8">
        <f t="shared" si="6"/>
        <v>4.6159999999999997</v>
      </c>
      <c r="L13" s="3">
        <f t="shared" si="2"/>
        <v>29.043534868567324</v>
      </c>
      <c r="M13" s="12">
        <v>89</v>
      </c>
      <c r="N13" s="8">
        <f t="shared" si="7"/>
        <v>8.9</v>
      </c>
      <c r="O13" s="3">
        <f t="shared" si="3"/>
        <v>54.535058917813409</v>
      </c>
      <c r="P13" s="12">
        <v>48</v>
      </c>
      <c r="Q13" s="8">
        <f t="shared" si="8"/>
        <v>9.6</v>
      </c>
      <c r="R13" s="3">
        <f t="shared" si="4"/>
        <v>56.236095644623234</v>
      </c>
    </row>
    <row r="14" spans="1:22" ht="22" x14ac:dyDescent="0.35">
      <c r="A14" s="6">
        <v>68</v>
      </c>
      <c r="B14" s="38">
        <v>5546000067</v>
      </c>
      <c r="C14" s="39" t="s">
        <v>129</v>
      </c>
      <c r="D14" s="12">
        <v>72</v>
      </c>
      <c r="E14" s="8">
        <f t="shared" si="5"/>
        <v>19.2</v>
      </c>
      <c r="F14" s="3">
        <f t="shared" si="0"/>
        <v>117.43903923466812</v>
      </c>
      <c r="G14" s="12">
        <v>27</v>
      </c>
      <c r="H14" s="8">
        <f t="shared" si="9"/>
        <v>9</v>
      </c>
      <c r="I14" s="3">
        <f t="shared" si="1"/>
        <v>52.867792323308066</v>
      </c>
      <c r="J14" s="12">
        <v>45.83</v>
      </c>
      <c r="K14" s="8">
        <f t="shared" si="6"/>
        <v>4.5829999999999993</v>
      </c>
      <c r="L14" s="3">
        <f t="shared" si="2"/>
        <v>28.199666722083716</v>
      </c>
      <c r="M14" s="12">
        <v>91</v>
      </c>
      <c r="N14" s="8">
        <f t="shared" si="7"/>
        <v>9.1</v>
      </c>
      <c r="O14" s="3">
        <f t="shared" si="3"/>
        <v>60.116669893583762</v>
      </c>
      <c r="P14" s="12">
        <v>49</v>
      </c>
      <c r="Q14" s="8">
        <f t="shared" si="8"/>
        <v>9.8000000000000007</v>
      </c>
      <c r="R14" s="3">
        <f t="shared" si="4"/>
        <v>62.472191289246467</v>
      </c>
    </row>
    <row r="15" spans="1:22" ht="22" x14ac:dyDescent="0.35">
      <c r="A15" s="6">
        <v>78</v>
      </c>
      <c r="B15" s="38">
        <v>5546000077</v>
      </c>
      <c r="C15" s="39" t="s">
        <v>130</v>
      </c>
      <c r="D15" s="12">
        <v>72</v>
      </c>
      <c r="E15" s="8">
        <f t="shared" si="5"/>
        <v>19.2</v>
      </c>
      <c r="F15" s="3">
        <f t="shared" si="0"/>
        <v>117.43903923466812</v>
      </c>
      <c r="G15" s="12">
        <v>28.33</v>
      </c>
      <c r="H15" s="8">
        <f t="shared" si="9"/>
        <v>9.4433333333333316</v>
      </c>
      <c r="I15" s="3">
        <f t="shared" si="1"/>
        <v>66.80081073426598</v>
      </c>
      <c r="J15" s="12">
        <v>46</v>
      </c>
      <c r="K15" s="8">
        <f t="shared" si="6"/>
        <v>4.5999999999999996</v>
      </c>
      <c r="L15" s="3">
        <f t="shared" si="2"/>
        <v>28.634386676332852</v>
      </c>
      <c r="M15" s="12">
        <v>92</v>
      </c>
      <c r="N15" s="8">
        <f t="shared" si="7"/>
        <v>9.1999999999999993</v>
      </c>
      <c r="O15" s="3">
        <f t="shared" si="3"/>
        <v>62.907475381468942</v>
      </c>
      <c r="P15" s="12">
        <v>48</v>
      </c>
      <c r="Q15" s="8">
        <f t="shared" si="8"/>
        <v>9.6</v>
      </c>
      <c r="R15" s="3">
        <f t="shared" si="4"/>
        <v>56.236095644623234</v>
      </c>
    </row>
    <row r="16" spans="1:22" ht="18" customHeight="1" x14ac:dyDescent="0.35">
      <c r="C16" s="42" t="s">
        <v>13</v>
      </c>
      <c r="D16" s="9">
        <f>AVERAGE($D$8:$D$15)</f>
        <v>71.31</v>
      </c>
      <c r="E16" s="2"/>
      <c r="F16" s="2"/>
      <c r="G16" s="9">
        <f>AVERAGE($G$8:$G$15)</f>
        <v>26.72625</v>
      </c>
      <c r="J16" s="9">
        <f>AVERAGE($J$8:$J$15)</f>
        <v>44.578749999999992</v>
      </c>
      <c r="M16" s="9">
        <f>AVERAGE($M$8:$M$15)</f>
        <v>87.375</v>
      </c>
      <c r="P16" s="9">
        <f>AVERAGE($P$8:$P$15)</f>
        <v>47</v>
      </c>
    </row>
    <row r="17" spans="1:19" ht="18" customHeight="1" x14ac:dyDescent="0.35">
      <c r="C17" s="42" t="s">
        <v>14</v>
      </c>
      <c r="D17" s="9">
        <f>STDEV($D$8:$D$15)</f>
        <v>0.79132799773545437</v>
      </c>
      <c r="E17" s="2"/>
      <c r="F17" s="2"/>
      <c r="G17" s="9">
        <f>STDEV($G$8:$G$15)</f>
        <v>0.95456702974998731</v>
      </c>
      <c r="J17" s="9">
        <f>STDEV($J$8:$J$15)</f>
        <v>1.9552817663227686</v>
      </c>
      <c r="M17" s="9">
        <f>STDEV(M8:M15)</f>
        <v>3.5831949031954311</v>
      </c>
      <c r="P17" s="9">
        <f>STDEV(P8:P15)</f>
        <v>1.6035674514745464</v>
      </c>
    </row>
    <row r="18" spans="1:19" ht="18" customHeight="1" x14ac:dyDescent="0.35">
      <c r="C18" s="42"/>
      <c r="D18" s="206" t="s">
        <v>121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9" ht="18" customHeight="1" x14ac:dyDescent="0.35">
      <c r="A19" s="204" t="s">
        <v>76</v>
      </c>
      <c r="B19" s="204" t="s">
        <v>12</v>
      </c>
      <c r="C19" s="204" t="s">
        <v>0</v>
      </c>
      <c r="D19" s="207" t="s">
        <v>60</v>
      </c>
      <c r="E19" s="207"/>
      <c r="F19" s="207"/>
      <c r="G19" s="207" t="s">
        <v>61</v>
      </c>
      <c r="H19" s="207"/>
      <c r="I19" s="207"/>
      <c r="J19" s="207" t="s">
        <v>62</v>
      </c>
      <c r="K19" s="207"/>
      <c r="L19" s="207"/>
      <c r="M19" s="207" t="s">
        <v>63</v>
      </c>
      <c r="N19" s="207"/>
      <c r="O19" s="207"/>
      <c r="P19" s="207" t="s">
        <v>64</v>
      </c>
      <c r="Q19" s="207"/>
      <c r="R19" s="207"/>
    </row>
    <row r="20" spans="1:19" x14ac:dyDescent="0.35">
      <c r="A20" s="204"/>
      <c r="B20" s="204"/>
      <c r="C20" s="204"/>
      <c r="D20" s="44" t="s">
        <v>17</v>
      </c>
      <c r="E20" s="44" t="s">
        <v>6</v>
      </c>
      <c r="F20" s="44" t="s">
        <v>3</v>
      </c>
      <c r="G20" s="44" t="s">
        <v>17</v>
      </c>
      <c r="H20" s="44" t="s">
        <v>6</v>
      </c>
      <c r="I20" s="44" t="s">
        <v>3</v>
      </c>
      <c r="J20" s="44" t="s">
        <v>17</v>
      </c>
      <c r="K20" s="44" t="s">
        <v>6</v>
      </c>
      <c r="L20" s="44" t="s">
        <v>3</v>
      </c>
      <c r="M20" s="44" t="s">
        <v>17</v>
      </c>
      <c r="N20" s="44" t="s">
        <v>6</v>
      </c>
      <c r="O20" s="44" t="s">
        <v>3</v>
      </c>
      <c r="P20" s="44" t="s">
        <v>17</v>
      </c>
      <c r="Q20" s="44" t="s">
        <v>6</v>
      </c>
      <c r="R20" s="44" t="s">
        <v>3</v>
      </c>
      <c r="S20" s="1" t="s">
        <v>2</v>
      </c>
    </row>
    <row r="21" spans="1:19" x14ac:dyDescent="0.35">
      <c r="A21" s="204"/>
      <c r="B21" s="204"/>
      <c r="C21" s="204"/>
      <c r="D21" s="14">
        <v>50</v>
      </c>
      <c r="E21" s="14">
        <v>5</v>
      </c>
      <c r="F21" s="34">
        <f>$E$21/10</f>
        <v>0.5</v>
      </c>
      <c r="G21" s="14">
        <v>40</v>
      </c>
      <c r="H21" s="14">
        <v>5</v>
      </c>
      <c r="I21" s="34">
        <f>$H$21/10</f>
        <v>0.5</v>
      </c>
      <c r="J21" s="14">
        <v>50</v>
      </c>
      <c r="K21" s="14">
        <v>5</v>
      </c>
      <c r="L21" s="34">
        <f>$K$21/10</f>
        <v>0.5</v>
      </c>
      <c r="M21" s="14">
        <v>40</v>
      </c>
      <c r="N21" s="14">
        <v>5</v>
      </c>
      <c r="O21" s="35">
        <f>$N$21/10</f>
        <v>0.5</v>
      </c>
      <c r="P21" s="14">
        <v>70</v>
      </c>
      <c r="Q21" s="14">
        <v>10</v>
      </c>
      <c r="R21" s="35">
        <f>$Q$21/10</f>
        <v>1</v>
      </c>
    </row>
    <row r="22" spans="1:19" ht="22" x14ac:dyDescent="0.35">
      <c r="A22" s="6">
        <v>8</v>
      </c>
      <c r="B22" s="38">
        <v>5546000007</v>
      </c>
      <c r="C22" s="39" t="s">
        <v>123</v>
      </c>
      <c r="D22" s="12">
        <v>48</v>
      </c>
      <c r="E22" s="8">
        <f>(D22*$E$21)/$D$21</f>
        <v>4.8</v>
      </c>
      <c r="F22" s="3">
        <f t="shared" ref="F22:F29" si="10">IF($D$31=0,50,(50+(10*(STANDARDIZE(D22,$D$30,$D$31)))))*$F$21</f>
        <v>24.024763127993133</v>
      </c>
      <c r="G22" s="12">
        <v>38</v>
      </c>
      <c r="H22" s="8">
        <f>(G22*$H$21)/$G$21</f>
        <v>4.75</v>
      </c>
      <c r="I22" s="3">
        <f t="shared" ref="I22:I29" si="11">IF($G$31=0,50,(50+(10*(STANDARDIZE(G22,$G$30,$G$31)))))*$I$21</f>
        <v>25</v>
      </c>
      <c r="J22" s="12">
        <v>48</v>
      </c>
      <c r="K22" s="8">
        <f>(J22*$K$21)/$J$21</f>
        <v>4.8</v>
      </c>
      <c r="L22" s="3">
        <f t="shared" ref="L22:L29" si="12">IF($J$31=0,50,(50+(10*(STANDARDIZE(J22,$J$30,$J$31)))))*$L$21</f>
        <v>25.975236872006867</v>
      </c>
      <c r="M22" s="12">
        <v>37</v>
      </c>
      <c r="N22" s="8">
        <f>(M22*$N$21)/$M$21</f>
        <v>4.625</v>
      </c>
      <c r="O22" s="3">
        <f t="shared" ref="O22:O29" si="13">IF($M$31=0,50,(50+(10*(STANDARDIZE(M22,$M$30,$M$31)))))*$O$21</f>
        <v>20.322928266532571</v>
      </c>
      <c r="P22" s="12">
        <v>61</v>
      </c>
      <c r="Q22" s="8">
        <f>(P22*$Q$21)/$P$21</f>
        <v>8.7142857142857135</v>
      </c>
      <c r="R22" s="3">
        <f t="shared" ref="R22:R29" si="14">IF($P$31=0,50,(50+(10*(STANDARDIZE(P22,$P$30,$P$31)))))*$R$21</f>
        <v>43.74761784123617</v>
      </c>
    </row>
    <row r="23" spans="1:19" ht="22" x14ac:dyDescent="0.35">
      <c r="A23" s="6">
        <v>18</v>
      </c>
      <c r="B23" s="38">
        <v>5546000017</v>
      </c>
      <c r="C23" s="39" t="s">
        <v>124</v>
      </c>
      <c r="D23" s="12">
        <v>48</v>
      </c>
      <c r="E23" s="8">
        <f t="shared" ref="E23:E29" si="15">(D23*$E$21)/$D$21</f>
        <v>4.8</v>
      </c>
      <c r="F23" s="3">
        <f t="shared" si="10"/>
        <v>24.024763127993133</v>
      </c>
      <c r="G23" s="12">
        <v>38</v>
      </c>
      <c r="H23" s="8">
        <f t="shared" ref="H23:H29" si="16">(G23*$H$21)/$G$21</f>
        <v>4.75</v>
      </c>
      <c r="I23" s="3">
        <f t="shared" si="11"/>
        <v>25</v>
      </c>
      <c r="J23" s="12">
        <v>47</v>
      </c>
      <c r="K23" s="8">
        <f t="shared" ref="K23:K29" si="17">(J23*$K$21)/$J$21</f>
        <v>4.7</v>
      </c>
      <c r="L23" s="3">
        <f t="shared" si="12"/>
        <v>18.173341895951928</v>
      </c>
      <c r="M23" s="12">
        <v>37</v>
      </c>
      <c r="N23" s="8">
        <f t="shared" ref="N23:N29" si="18">(M23*$N$21)/$M$21</f>
        <v>4.625</v>
      </c>
      <c r="O23" s="3">
        <f t="shared" si="13"/>
        <v>20.322928266532571</v>
      </c>
      <c r="P23" s="12">
        <v>59.5</v>
      </c>
      <c r="Q23" s="8">
        <f t="shared" ref="Q23:Q29" si="19">(P23*$Q$21)/$P$21</f>
        <v>8.5</v>
      </c>
      <c r="R23" s="3">
        <f t="shared" si="14"/>
        <v>38.907063911870623</v>
      </c>
    </row>
    <row r="24" spans="1:19" ht="22" x14ac:dyDescent="0.35">
      <c r="A24" s="6">
        <v>28</v>
      </c>
      <c r="B24" s="38">
        <v>5546000027</v>
      </c>
      <c r="C24" s="39" t="s">
        <v>125</v>
      </c>
      <c r="D24" s="12">
        <v>47</v>
      </c>
      <c r="E24" s="8">
        <f t="shared" si="15"/>
        <v>4.7</v>
      </c>
      <c r="F24" s="3">
        <f t="shared" si="10"/>
        <v>16.222868151938194</v>
      </c>
      <c r="G24" s="12">
        <v>38</v>
      </c>
      <c r="H24" s="8">
        <f t="shared" si="16"/>
        <v>4.75</v>
      </c>
      <c r="I24" s="3">
        <f t="shared" si="11"/>
        <v>25</v>
      </c>
      <c r="J24" s="12">
        <v>48</v>
      </c>
      <c r="K24" s="8">
        <f t="shared" si="17"/>
        <v>4.8</v>
      </c>
      <c r="L24" s="3">
        <f t="shared" si="12"/>
        <v>25.975236872006867</v>
      </c>
      <c r="M24" s="12">
        <v>39</v>
      </c>
      <c r="N24" s="8">
        <f t="shared" si="18"/>
        <v>4.875</v>
      </c>
      <c r="O24" s="3">
        <f t="shared" si="13"/>
        <v>29.677071733467429</v>
      </c>
      <c r="P24" s="12">
        <v>62.5</v>
      </c>
      <c r="Q24" s="8">
        <f t="shared" si="19"/>
        <v>8.9285714285714288</v>
      </c>
      <c r="R24" s="3">
        <f t="shared" si="14"/>
        <v>48.588171770601718</v>
      </c>
    </row>
    <row r="25" spans="1:19" ht="22" x14ac:dyDescent="0.35">
      <c r="A25" s="6">
        <v>38</v>
      </c>
      <c r="B25" s="38">
        <v>5546000037</v>
      </c>
      <c r="C25" s="39" t="s">
        <v>126</v>
      </c>
      <c r="D25" s="12">
        <v>48</v>
      </c>
      <c r="E25" s="8">
        <f t="shared" si="15"/>
        <v>4.8</v>
      </c>
      <c r="F25" s="3">
        <f t="shared" si="10"/>
        <v>24.024763127993133</v>
      </c>
      <c r="G25" s="12">
        <v>38</v>
      </c>
      <c r="H25" s="8">
        <f t="shared" si="16"/>
        <v>4.75</v>
      </c>
      <c r="I25" s="3">
        <f t="shared" si="11"/>
        <v>25</v>
      </c>
      <c r="J25" s="12">
        <v>48</v>
      </c>
      <c r="K25" s="8">
        <f t="shared" si="17"/>
        <v>4.8</v>
      </c>
      <c r="L25" s="3">
        <f t="shared" si="12"/>
        <v>25.975236872006867</v>
      </c>
      <c r="M25" s="12">
        <v>37</v>
      </c>
      <c r="N25" s="8">
        <f t="shared" si="18"/>
        <v>4.625</v>
      </c>
      <c r="O25" s="3">
        <f t="shared" si="13"/>
        <v>20.322928266532571</v>
      </c>
      <c r="P25" s="12">
        <v>61.5</v>
      </c>
      <c r="Q25" s="8">
        <f t="shared" si="19"/>
        <v>8.7857142857142865</v>
      </c>
      <c r="R25" s="3">
        <f t="shared" si="14"/>
        <v>45.361135817691348</v>
      </c>
    </row>
    <row r="26" spans="1:19" ht="22" x14ac:dyDescent="0.35">
      <c r="A26" s="6">
        <v>48</v>
      </c>
      <c r="B26" s="38">
        <v>5546000047</v>
      </c>
      <c r="C26" s="39" t="s">
        <v>127</v>
      </c>
      <c r="D26" s="12">
        <v>48</v>
      </c>
      <c r="E26" s="8">
        <f t="shared" si="15"/>
        <v>4.8</v>
      </c>
      <c r="F26" s="3">
        <f t="shared" si="10"/>
        <v>24.024763127993133</v>
      </c>
      <c r="G26" s="12">
        <v>38</v>
      </c>
      <c r="H26" s="8">
        <f t="shared" si="16"/>
        <v>4.75</v>
      </c>
      <c r="I26" s="3">
        <f t="shared" si="11"/>
        <v>25</v>
      </c>
      <c r="J26" s="12">
        <v>47</v>
      </c>
      <c r="K26" s="8">
        <f t="shared" si="17"/>
        <v>4.7</v>
      </c>
      <c r="L26" s="3">
        <f t="shared" si="12"/>
        <v>18.173341895951928</v>
      </c>
      <c r="M26" s="12">
        <v>37</v>
      </c>
      <c r="N26" s="8">
        <f t="shared" si="18"/>
        <v>4.625</v>
      </c>
      <c r="O26" s="3">
        <f t="shared" si="13"/>
        <v>20.322928266532571</v>
      </c>
      <c r="P26" s="12">
        <v>60</v>
      </c>
      <c r="Q26" s="8">
        <f t="shared" si="19"/>
        <v>8.5714285714285712</v>
      </c>
      <c r="R26" s="3">
        <f t="shared" si="14"/>
        <v>40.520581888325808</v>
      </c>
    </row>
    <row r="27" spans="1:19" ht="22" x14ac:dyDescent="0.35">
      <c r="A27" s="6">
        <v>58</v>
      </c>
      <c r="B27" s="38">
        <v>5546000057</v>
      </c>
      <c r="C27" s="39" t="s">
        <v>128</v>
      </c>
      <c r="D27" s="12">
        <v>49</v>
      </c>
      <c r="E27" s="8">
        <f t="shared" si="15"/>
        <v>4.9000000000000004</v>
      </c>
      <c r="F27" s="3">
        <f t="shared" si="10"/>
        <v>31.826658104048072</v>
      </c>
      <c r="G27" s="12">
        <v>38</v>
      </c>
      <c r="H27" s="8">
        <f t="shared" si="16"/>
        <v>4.75</v>
      </c>
      <c r="I27" s="3">
        <f t="shared" si="11"/>
        <v>25</v>
      </c>
      <c r="J27" s="12">
        <v>48</v>
      </c>
      <c r="K27" s="8">
        <f t="shared" si="17"/>
        <v>4.8</v>
      </c>
      <c r="L27" s="3">
        <f t="shared" si="12"/>
        <v>25.975236872006867</v>
      </c>
      <c r="M27" s="12">
        <v>39</v>
      </c>
      <c r="N27" s="8">
        <f t="shared" si="18"/>
        <v>4.875</v>
      </c>
      <c r="O27" s="3">
        <f t="shared" si="13"/>
        <v>29.677071733467429</v>
      </c>
      <c r="P27" s="12">
        <v>64.5</v>
      </c>
      <c r="Q27" s="8">
        <f t="shared" si="19"/>
        <v>9.2142857142857135</v>
      </c>
      <c r="R27" s="3">
        <f t="shared" si="14"/>
        <v>55.042243676422444</v>
      </c>
    </row>
    <row r="28" spans="1:19" ht="22" x14ac:dyDescent="0.35">
      <c r="A28" s="6">
        <v>68</v>
      </c>
      <c r="B28" s="38">
        <v>5546000067</v>
      </c>
      <c r="C28" s="39" t="s">
        <v>129</v>
      </c>
      <c r="D28" s="12">
        <v>48</v>
      </c>
      <c r="E28" s="8">
        <f t="shared" si="15"/>
        <v>4.8</v>
      </c>
      <c r="F28" s="3">
        <f t="shared" si="10"/>
        <v>24.024763127993133</v>
      </c>
      <c r="G28" s="12">
        <v>38</v>
      </c>
      <c r="H28" s="8">
        <f t="shared" si="16"/>
        <v>4.75</v>
      </c>
      <c r="I28" s="3">
        <f t="shared" si="11"/>
        <v>25</v>
      </c>
      <c r="J28" s="12">
        <v>48</v>
      </c>
      <c r="K28" s="8">
        <f t="shared" si="17"/>
        <v>4.8</v>
      </c>
      <c r="L28" s="3">
        <f t="shared" si="12"/>
        <v>25.975236872006867</v>
      </c>
      <c r="M28" s="12">
        <v>39</v>
      </c>
      <c r="N28" s="8">
        <f t="shared" si="18"/>
        <v>4.875</v>
      </c>
      <c r="O28" s="3">
        <f t="shared" si="13"/>
        <v>29.677071733467429</v>
      </c>
      <c r="P28" s="12">
        <v>68</v>
      </c>
      <c r="Q28" s="8">
        <f t="shared" si="19"/>
        <v>9.7142857142857135</v>
      </c>
      <c r="R28" s="3">
        <f t="shared" si="14"/>
        <v>66.336869511608725</v>
      </c>
    </row>
    <row r="29" spans="1:19" ht="22" x14ac:dyDescent="0.35">
      <c r="A29" s="6">
        <v>78</v>
      </c>
      <c r="B29" s="38">
        <v>5546000077</v>
      </c>
      <c r="C29" s="39" t="s">
        <v>130</v>
      </c>
      <c r="D29" s="12">
        <v>49</v>
      </c>
      <c r="E29" s="8">
        <f t="shared" si="15"/>
        <v>4.9000000000000004</v>
      </c>
      <c r="F29" s="3">
        <f t="shared" si="10"/>
        <v>31.826658104048072</v>
      </c>
      <c r="G29" s="12">
        <v>38</v>
      </c>
      <c r="H29" s="8">
        <f t="shared" si="16"/>
        <v>4.75</v>
      </c>
      <c r="I29" s="3">
        <f t="shared" si="11"/>
        <v>25</v>
      </c>
      <c r="J29" s="12">
        <v>49</v>
      </c>
      <c r="K29" s="8">
        <f t="shared" si="17"/>
        <v>4.9000000000000004</v>
      </c>
      <c r="L29" s="3">
        <f t="shared" si="12"/>
        <v>33.777131848061806</v>
      </c>
      <c r="M29" s="12">
        <v>39</v>
      </c>
      <c r="N29" s="8">
        <f t="shared" si="18"/>
        <v>4.875</v>
      </c>
      <c r="O29" s="3">
        <f t="shared" si="13"/>
        <v>29.677071733467429</v>
      </c>
      <c r="P29" s="12">
        <v>66.5</v>
      </c>
      <c r="Q29" s="8">
        <f t="shared" si="19"/>
        <v>9.5</v>
      </c>
      <c r="R29" s="3">
        <f t="shared" si="14"/>
        <v>61.49631558224317</v>
      </c>
    </row>
    <row r="30" spans="1:19" x14ac:dyDescent="0.35">
      <c r="C30" s="42" t="s">
        <v>13</v>
      </c>
      <c r="D30" s="9">
        <f>AVERAGE($D$22:$D$29)</f>
        <v>48.125</v>
      </c>
      <c r="G30" s="9">
        <f>AVERAGE($G$22:$G$29)</f>
        <v>38</v>
      </c>
      <c r="J30" s="9">
        <f>AVERAGE($J$22:$J$29)</f>
        <v>47.875</v>
      </c>
      <c r="M30" s="9">
        <f>AVERAGE($M$22:$M$29)</f>
        <v>38</v>
      </c>
      <c r="P30" s="9">
        <f>AVERAGE($P$22:$P$29)</f>
        <v>62.9375</v>
      </c>
    </row>
    <row r="31" spans="1:19" x14ac:dyDescent="0.35">
      <c r="C31" s="42" t="s">
        <v>14</v>
      </c>
      <c r="D31" s="9">
        <f>STDEV($D$22:$D$29)</f>
        <v>0.64086994446165568</v>
      </c>
      <c r="F31" s="5"/>
      <c r="G31" s="9">
        <f>STDEV($G$22:$G$29)</f>
        <v>0</v>
      </c>
      <c r="J31" s="9">
        <f>STDEV($J$22:$J$29)</f>
        <v>0.64086994446165568</v>
      </c>
      <c r="L31" s="5"/>
      <c r="M31" s="9">
        <f>STDEV($M$22:$M$29)</f>
        <v>1.0690449676496976</v>
      </c>
      <c r="P31" s="9">
        <f>STDEV($P$22:$P$29)</f>
        <v>3.0988188994241939</v>
      </c>
    </row>
    <row r="32" spans="1:19" x14ac:dyDescent="0.35">
      <c r="C32" s="42"/>
      <c r="D32" s="9"/>
      <c r="F32" s="5"/>
      <c r="G32" s="9" t="s">
        <v>2</v>
      </c>
      <c r="J32" s="9"/>
      <c r="L32" s="5"/>
      <c r="M32" s="9"/>
      <c r="P32" s="1" t="s">
        <v>2</v>
      </c>
    </row>
    <row r="33" spans="1:22" x14ac:dyDescent="0.35">
      <c r="D33" s="208" t="s">
        <v>67</v>
      </c>
      <c r="E33" s="208"/>
      <c r="F33" s="208"/>
      <c r="P33" s="1" t="s">
        <v>2</v>
      </c>
    </row>
    <row r="34" spans="1:22" x14ac:dyDescent="0.35">
      <c r="A34" s="204" t="s">
        <v>76</v>
      </c>
      <c r="B34" s="204" t="s">
        <v>12</v>
      </c>
      <c r="C34" s="204" t="s">
        <v>0</v>
      </c>
      <c r="D34" s="207" t="s">
        <v>65</v>
      </c>
      <c r="E34" s="207"/>
      <c r="F34" s="207"/>
      <c r="G34" s="209" t="s">
        <v>53</v>
      </c>
      <c r="H34" s="209"/>
      <c r="I34" s="209"/>
      <c r="J34" s="209" t="s">
        <v>66</v>
      </c>
      <c r="K34" s="209"/>
      <c r="L34" s="209"/>
      <c r="M34" s="202"/>
      <c r="N34" s="202"/>
      <c r="O34" s="202"/>
      <c r="P34" s="210"/>
      <c r="Q34" s="210"/>
      <c r="R34" s="210"/>
    </row>
    <row r="35" spans="1:22" x14ac:dyDescent="0.35">
      <c r="A35" s="204"/>
      <c r="B35" s="204"/>
      <c r="C35" s="204"/>
      <c r="D35" s="44" t="s">
        <v>17</v>
      </c>
      <c r="E35" s="44" t="s">
        <v>6</v>
      </c>
      <c r="F35" s="44" t="s">
        <v>3</v>
      </c>
      <c r="G35" s="44" t="s">
        <v>17</v>
      </c>
      <c r="H35" s="44" t="s">
        <v>6</v>
      </c>
      <c r="I35" s="44" t="s">
        <v>3</v>
      </c>
      <c r="J35" s="44" t="s">
        <v>17</v>
      </c>
      <c r="K35" s="44" t="s">
        <v>6</v>
      </c>
      <c r="L35" s="44" t="s">
        <v>3</v>
      </c>
      <c r="M35" s="42"/>
      <c r="N35" s="42"/>
      <c r="O35" s="42"/>
      <c r="P35" s="42"/>
      <c r="Q35" s="42"/>
      <c r="R35" s="42"/>
    </row>
    <row r="36" spans="1:22" x14ac:dyDescent="0.35">
      <c r="A36" s="204"/>
      <c r="B36" s="204"/>
      <c r="C36" s="204"/>
      <c r="D36" s="14">
        <v>30</v>
      </c>
      <c r="E36" s="14">
        <v>5</v>
      </c>
      <c r="F36" s="34">
        <f>$E$36/10</f>
        <v>0.5</v>
      </c>
      <c r="G36" s="14">
        <v>50</v>
      </c>
      <c r="H36" s="14">
        <v>5</v>
      </c>
      <c r="I36" s="34">
        <f>$H$36/10</f>
        <v>0.5</v>
      </c>
      <c r="J36" s="14">
        <v>60</v>
      </c>
      <c r="K36" s="14">
        <v>5</v>
      </c>
      <c r="L36" s="34">
        <f>$K$36/10</f>
        <v>0.5</v>
      </c>
      <c r="M36" s="40"/>
      <c r="N36" s="40"/>
      <c r="O36" s="41"/>
      <c r="P36" s="2"/>
      <c r="Q36" s="2"/>
      <c r="R36" s="41"/>
    </row>
    <row r="37" spans="1:22" ht="22" x14ac:dyDescent="0.35">
      <c r="A37" s="6">
        <v>8</v>
      </c>
      <c r="B37" s="38">
        <v>5546000007</v>
      </c>
      <c r="C37" s="39" t="s">
        <v>123</v>
      </c>
      <c r="D37" s="12">
        <v>29</v>
      </c>
      <c r="E37" s="8">
        <f>(D37*$E$36)/$D$36</f>
        <v>4.833333333333333</v>
      </c>
      <c r="F37" s="3">
        <f t="shared" ref="F37:F44" si="20">IF($D$46=0,50,(50+(10*(STANDARDIZE(D37,$D$45,$D$46)))))*$F$36</f>
        <v>28.622844186547361</v>
      </c>
      <c r="G37" s="12">
        <v>48</v>
      </c>
      <c r="H37" s="8">
        <f>(G37*$H$36)/$G$36</f>
        <v>4.8</v>
      </c>
      <c r="I37" s="3">
        <f t="shared" ref="I37:I44" si="21">IF($G$46=0,50,(50+(10*(STANDARDIZE(G37,$G$45,$G$46)))))*$I$36</f>
        <v>25.555066294733606</v>
      </c>
      <c r="J37" s="12">
        <v>38</v>
      </c>
      <c r="K37" s="8">
        <f>(J37*$K$36)/$J$36</f>
        <v>3.1666666666666665</v>
      </c>
      <c r="L37" s="3">
        <f t="shared" ref="L37:L44" si="22">IF($J$46=0,50,(50+(10*(STANDARDIZE(J37,$J$45,$J$46)))))*$L$36</f>
        <v>23.506916156722159</v>
      </c>
      <c r="M37" s="9"/>
      <c r="N37" s="19"/>
      <c r="O37" s="9"/>
      <c r="P37" s="2"/>
      <c r="Q37" s="19"/>
      <c r="R37" s="9"/>
    </row>
    <row r="38" spans="1:22" ht="22" x14ac:dyDescent="0.35">
      <c r="A38" s="6">
        <v>18</v>
      </c>
      <c r="B38" s="38">
        <v>5546000017</v>
      </c>
      <c r="C38" s="64" t="s">
        <v>124</v>
      </c>
      <c r="D38" s="65">
        <v>28</v>
      </c>
      <c r="E38" s="8">
        <f t="shared" ref="E38:E44" si="23">(D38*$E$36)/$D$36</f>
        <v>4.666666666666667</v>
      </c>
      <c r="F38" s="3">
        <f t="shared" si="20"/>
        <v>18.9619263557544</v>
      </c>
      <c r="G38" s="12">
        <v>46</v>
      </c>
      <c r="H38" s="8">
        <f t="shared" ref="H38:H44" si="24">(G38*$H$36)/$G$36</f>
        <v>4.5999999999999996</v>
      </c>
      <c r="I38" s="3">
        <f t="shared" si="21"/>
        <v>16.674005578995889</v>
      </c>
      <c r="J38" s="12">
        <v>40</v>
      </c>
      <c r="K38" s="8">
        <f t="shared" ref="K38:K44" si="25">(J38*$K$36)/$J$36</f>
        <v>3.3333333333333335</v>
      </c>
      <c r="L38" s="3">
        <f t="shared" si="22"/>
        <v>25</v>
      </c>
      <c r="M38" s="9"/>
      <c r="N38" s="19"/>
      <c r="O38" s="9"/>
      <c r="P38" s="2"/>
      <c r="Q38" s="19"/>
      <c r="R38" s="9"/>
    </row>
    <row r="39" spans="1:22" ht="22" x14ac:dyDescent="0.35">
      <c r="A39" s="6">
        <v>28</v>
      </c>
      <c r="B39" s="38">
        <v>5546000027</v>
      </c>
      <c r="C39" s="39" t="s">
        <v>125</v>
      </c>
      <c r="D39" s="12">
        <v>29</v>
      </c>
      <c r="E39" s="8">
        <f t="shared" si="23"/>
        <v>4.833333333333333</v>
      </c>
      <c r="F39" s="3">
        <f t="shared" si="20"/>
        <v>28.622844186547361</v>
      </c>
      <c r="G39" s="12">
        <v>48</v>
      </c>
      <c r="H39" s="8">
        <f t="shared" si="24"/>
        <v>4.8</v>
      </c>
      <c r="I39" s="3">
        <f t="shared" si="21"/>
        <v>25.555066294733606</v>
      </c>
      <c r="J39" s="12">
        <v>50</v>
      </c>
      <c r="K39" s="8">
        <f t="shared" si="25"/>
        <v>4.166666666666667</v>
      </c>
      <c r="L39" s="3">
        <f t="shared" si="22"/>
        <v>32.465419216389201</v>
      </c>
      <c r="M39" s="9"/>
      <c r="N39" s="19"/>
      <c r="O39" s="9"/>
      <c r="P39" s="2"/>
      <c r="Q39" s="19"/>
      <c r="R39" s="9"/>
    </row>
    <row r="40" spans="1:22" ht="22" x14ac:dyDescent="0.35">
      <c r="A40" s="6">
        <v>38</v>
      </c>
      <c r="B40" s="38">
        <v>5546000037</v>
      </c>
      <c r="C40" s="39" t="s">
        <v>126</v>
      </c>
      <c r="D40" s="12">
        <v>29</v>
      </c>
      <c r="E40" s="8">
        <f t="shared" si="23"/>
        <v>4.833333333333333</v>
      </c>
      <c r="F40" s="3">
        <f t="shared" si="20"/>
        <v>28.622844186547361</v>
      </c>
      <c r="G40" s="12">
        <v>47</v>
      </c>
      <c r="H40" s="8">
        <f t="shared" si="24"/>
        <v>4.7</v>
      </c>
      <c r="I40" s="3">
        <f t="shared" si="21"/>
        <v>21.114535936864748</v>
      </c>
      <c r="J40" s="12">
        <v>40</v>
      </c>
      <c r="K40" s="8">
        <f t="shared" si="25"/>
        <v>3.3333333333333335</v>
      </c>
      <c r="L40" s="3">
        <f t="shared" si="22"/>
        <v>25</v>
      </c>
      <c r="M40" s="9"/>
      <c r="N40" s="19"/>
      <c r="O40" s="9"/>
      <c r="P40" s="2"/>
      <c r="Q40" s="19"/>
      <c r="R40" s="9"/>
    </row>
    <row r="41" spans="1:22" ht="22" x14ac:dyDescent="0.35">
      <c r="A41" s="6">
        <v>48</v>
      </c>
      <c r="B41" s="38">
        <v>5546000047</v>
      </c>
      <c r="C41" s="39" t="s">
        <v>127</v>
      </c>
      <c r="D41" s="12">
        <v>28</v>
      </c>
      <c r="E41" s="8">
        <f t="shared" si="23"/>
        <v>4.666666666666667</v>
      </c>
      <c r="F41" s="3">
        <f t="shared" si="20"/>
        <v>18.9619263557544</v>
      </c>
      <c r="G41" s="12">
        <v>47</v>
      </c>
      <c r="H41" s="8">
        <f t="shared" si="24"/>
        <v>4.7</v>
      </c>
      <c r="I41" s="3">
        <f t="shared" si="21"/>
        <v>21.114535936864748</v>
      </c>
      <c r="J41" s="12">
        <v>28</v>
      </c>
      <c r="K41" s="8">
        <f t="shared" si="25"/>
        <v>2.3333333333333335</v>
      </c>
      <c r="L41" s="3">
        <f t="shared" si="22"/>
        <v>16.041496940332962</v>
      </c>
      <c r="M41" s="9"/>
      <c r="N41" s="19"/>
      <c r="O41" s="9"/>
      <c r="P41" s="2"/>
      <c r="Q41" s="19"/>
      <c r="R41" s="9"/>
    </row>
    <row r="42" spans="1:22" ht="22" x14ac:dyDescent="0.35">
      <c r="A42" s="6">
        <v>58</v>
      </c>
      <c r="B42" s="38">
        <v>5546000057</v>
      </c>
      <c r="C42" s="39" t="s">
        <v>128</v>
      </c>
      <c r="D42" s="12">
        <v>28</v>
      </c>
      <c r="E42" s="8">
        <f t="shared" si="23"/>
        <v>4.666666666666667</v>
      </c>
      <c r="F42" s="3">
        <f t="shared" si="20"/>
        <v>18.9619263557544</v>
      </c>
      <c r="G42" s="12">
        <v>49</v>
      </c>
      <c r="H42" s="8">
        <f t="shared" si="24"/>
        <v>4.9000000000000004</v>
      </c>
      <c r="I42" s="3">
        <f t="shared" si="21"/>
        <v>29.995596652602465</v>
      </c>
      <c r="J42" s="12">
        <v>35</v>
      </c>
      <c r="K42" s="8">
        <f t="shared" si="25"/>
        <v>2.9166666666666665</v>
      </c>
      <c r="L42" s="3">
        <f t="shared" si="22"/>
        <v>21.2672903918054</v>
      </c>
      <c r="M42" s="9"/>
      <c r="N42" s="19"/>
      <c r="O42" s="9"/>
      <c r="P42" s="2"/>
      <c r="Q42" s="19"/>
      <c r="R42" s="9"/>
    </row>
    <row r="43" spans="1:22" ht="22" x14ac:dyDescent="0.35">
      <c r="A43" s="6">
        <v>68</v>
      </c>
      <c r="B43" s="38">
        <v>5546000067</v>
      </c>
      <c r="C43" s="39" t="s">
        <v>129</v>
      </c>
      <c r="D43" s="12">
        <v>29</v>
      </c>
      <c r="E43" s="8">
        <f t="shared" si="23"/>
        <v>4.833333333333333</v>
      </c>
      <c r="F43" s="3">
        <f t="shared" si="20"/>
        <v>28.622844186547361</v>
      </c>
      <c r="G43" s="12">
        <v>49</v>
      </c>
      <c r="H43" s="8">
        <f t="shared" si="24"/>
        <v>4.9000000000000004</v>
      </c>
      <c r="I43" s="3">
        <f t="shared" si="21"/>
        <v>29.995596652602465</v>
      </c>
      <c r="J43" s="12">
        <v>45</v>
      </c>
      <c r="K43" s="8">
        <f t="shared" si="25"/>
        <v>3.75</v>
      </c>
      <c r="L43" s="3">
        <f t="shared" si="22"/>
        <v>28.7327096081946</v>
      </c>
      <c r="M43" s="9"/>
      <c r="N43" s="19"/>
      <c r="O43" s="9"/>
      <c r="P43" s="2"/>
      <c r="Q43" s="19"/>
      <c r="R43" s="9"/>
    </row>
    <row r="44" spans="1:22" ht="22" x14ac:dyDescent="0.35">
      <c r="A44" s="6">
        <v>78</v>
      </c>
      <c r="B44" s="38">
        <v>5546000077</v>
      </c>
      <c r="C44" s="39" t="s">
        <v>130</v>
      </c>
      <c r="D44" s="12">
        <v>29</v>
      </c>
      <c r="E44" s="8">
        <f t="shared" si="23"/>
        <v>4.833333333333333</v>
      </c>
      <c r="F44" s="3">
        <f t="shared" si="20"/>
        <v>28.622844186547361</v>
      </c>
      <c r="G44" s="12">
        <v>49</v>
      </c>
      <c r="H44" s="8">
        <f t="shared" si="24"/>
        <v>4.9000000000000004</v>
      </c>
      <c r="I44" s="3">
        <f t="shared" si="21"/>
        <v>29.995596652602465</v>
      </c>
      <c r="J44" s="12">
        <v>44</v>
      </c>
      <c r="K44" s="8">
        <f t="shared" si="25"/>
        <v>3.6666666666666665</v>
      </c>
      <c r="L44" s="3">
        <f t="shared" si="22"/>
        <v>27.986167686555682</v>
      </c>
      <c r="M44" s="9"/>
      <c r="N44" s="19"/>
      <c r="O44" s="9"/>
      <c r="P44" s="2"/>
      <c r="Q44" s="19"/>
      <c r="R44" s="9"/>
    </row>
    <row r="45" spans="1:22" x14ac:dyDescent="0.35">
      <c r="C45" s="42" t="s">
        <v>13</v>
      </c>
      <c r="D45" s="9">
        <f>AVERAGE($D$37:$D$44)</f>
        <v>28.625</v>
      </c>
      <c r="G45" s="9">
        <f>AVERAGE($G$37:$G$44)</f>
        <v>47.875</v>
      </c>
      <c r="J45" s="9">
        <f>AVERAGE($J$37:$J$44)</f>
        <v>40</v>
      </c>
      <c r="M45" s="9"/>
      <c r="P45" s="9"/>
      <c r="T45" s="1" t="s">
        <v>2</v>
      </c>
    </row>
    <row r="46" spans="1:22" x14ac:dyDescent="0.35">
      <c r="C46" s="42" t="s">
        <v>14</v>
      </c>
      <c r="D46" s="9">
        <f>STDEV($D$37:$D$44)</f>
        <v>0.51754916950676566</v>
      </c>
      <c r="F46" s="5"/>
      <c r="G46" s="9">
        <f>STDEV($G$37:$G$44)</f>
        <v>1.1259916264596033</v>
      </c>
      <c r="J46" s="9">
        <f>STDEV($J$37:$J$44)</f>
        <v>6.6975475255605952</v>
      </c>
      <c r="L46" s="5"/>
      <c r="M46" s="9"/>
      <c r="P46" s="9"/>
      <c r="V46" s="1" t="s">
        <v>2</v>
      </c>
    </row>
    <row r="47" spans="1:22" x14ac:dyDescent="0.35">
      <c r="C47" s="42"/>
      <c r="D47" s="9"/>
      <c r="F47" s="5"/>
      <c r="G47" s="9"/>
      <c r="J47" s="9"/>
      <c r="L47" s="5"/>
      <c r="M47" s="9"/>
      <c r="P47" s="1" t="s">
        <v>2</v>
      </c>
    </row>
    <row r="48" spans="1:22" x14ac:dyDescent="0.35">
      <c r="C48" s="42"/>
      <c r="D48" s="9"/>
      <c r="F48" s="5"/>
      <c r="G48" s="9"/>
      <c r="J48" s="9"/>
      <c r="L48" s="5"/>
      <c r="M48" s="9"/>
    </row>
    <row r="49" spans="1:18" ht="18.75" hidden="1" customHeight="1" x14ac:dyDescent="0.35">
      <c r="A49" s="204" t="s">
        <v>5</v>
      </c>
      <c r="B49" s="204" t="s">
        <v>12</v>
      </c>
      <c r="C49" s="204" t="s">
        <v>0</v>
      </c>
      <c r="D49" s="207" t="s">
        <v>21</v>
      </c>
      <c r="E49" s="207"/>
      <c r="F49" s="207"/>
      <c r="G49" s="207" t="s">
        <v>22</v>
      </c>
      <c r="H49" s="207"/>
      <c r="I49" s="207"/>
      <c r="J49" s="207" t="s">
        <v>23</v>
      </c>
      <c r="K49" s="207"/>
      <c r="L49" s="207"/>
      <c r="M49" s="207" t="s">
        <v>24</v>
      </c>
      <c r="N49" s="207"/>
      <c r="O49" s="207"/>
      <c r="P49" s="211" t="s">
        <v>25</v>
      </c>
      <c r="Q49" s="212"/>
      <c r="R49" s="213"/>
    </row>
    <row r="50" spans="1:18" ht="18.75" hidden="1" customHeight="1" x14ac:dyDescent="0.35">
      <c r="A50" s="204"/>
      <c r="B50" s="204"/>
      <c r="C50" s="204"/>
      <c r="D50" s="44" t="s">
        <v>17</v>
      </c>
      <c r="E50" s="44" t="s">
        <v>6</v>
      </c>
      <c r="F50" s="44" t="s">
        <v>3</v>
      </c>
      <c r="G50" s="44" t="s">
        <v>17</v>
      </c>
      <c r="H50" s="44" t="s">
        <v>6</v>
      </c>
      <c r="I50" s="44" t="s">
        <v>3</v>
      </c>
      <c r="J50" s="44" t="s">
        <v>17</v>
      </c>
      <c r="K50" s="44" t="s">
        <v>6</v>
      </c>
      <c r="L50" s="44" t="s">
        <v>3</v>
      </c>
      <c r="M50" s="44" t="s">
        <v>17</v>
      </c>
      <c r="N50" s="44" t="s">
        <v>6</v>
      </c>
      <c r="O50" s="44" t="s">
        <v>3</v>
      </c>
      <c r="P50" s="44" t="s">
        <v>17</v>
      </c>
      <c r="Q50" s="44" t="s">
        <v>6</v>
      </c>
      <c r="R50" s="44" t="s">
        <v>3</v>
      </c>
    </row>
    <row r="51" spans="1:18" hidden="1" x14ac:dyDescent="0.35">
      <c r="A51" s="204"/>
      <c r="B51" s="204"/>
      <c r="C51" s="204"/>
      <c r="D51" s="14"/>
      <c r="E51" s="14"/>
      <c r="F51" s="34"/>
      <c r="G51" s="14"/>
      <c r="H51" s="14"/>
      <c r="I51" s="36"/>
      <c r="J51" s="14"/>
      <c r="K51" s="14"/>
      <c r="L51" s="34"/>
      <c r="M51" s="14"/>
      <c r="N51" s="14"/>
      <c r="O51" s="34"/>
      <c r="P51" s="43"/>
      <c r="Q51" s="43"/>
      <c r="R51" s="35"/>
    </row>
    <row r="52" spans="1:18" ht="22" hidden="1" x14ac:dyDescent="0.35">
      <c r="A52" s="6">
        <v>1</v>
      </c>
      <c r="B52" s="38">
        <v>534600011</v>
      </c>
      <c r="C52" s="39" t="s">
        <v>44</v>
      </c>
      <c r="D52" s="12"/>
      <c r="E52" s="8"/>
      <c r="F52" s="3"/>
      <c r="G52" s="12"/>
      <c r="H52" s="8"/>
      <c r="I52" s="3"/>
      <c r="J52" s="12"/>
      <c r="K52" s="8"/>
      <c r="L52" s="3"/>
      <c r="M52" s="11"/>
      <c r="N52" s="8"/>
      <c r="O52" s="3"/>
      <c r="P52" s="12"/>
      <c r="Q52" s="8"/>
      <c r="R52" s="3"/>
    </row>
    <row r="53" spans="1:18" ht="22" hidden="1" x14ac:dyDescent="0.35">
      <c r="A53" s="6">
        <v>2</v>
      </c>
      <c r="B53" s="38">
        <v>534600012</v>
      </c>
      <c r="C53" s="39" t="s">
        <v>45</v>
      </c>
      <c r="D53" s="12"/>
      <c r="E53" s="8"/>
      <c r="F53" s="3"/>
      <c r="G53" s="12"/>
      <c r="H53" s="8"/>
      <c r="I53" s="3"/>
      <c r="J53" s="12"/>
      <c r="K53" s="8"/>
      <c r="L53" s="3"/>
      <c r="M53" s="11"/>
      <c r="N53" s="8"/>
      <c r="O53" s="3"/>
      <c r="P53" s="12"/>
      <c r="Q53" s="8"/>
      <c r="R53" s="3"/>
    </row>
    <row r="54" spans="1:18" ht="22" hidden="1" x14ac:dyDescent="0.35">
      <c r="A54" s="6">
        <v>3</v>
      </c>
      <c r="B54" s="38">
        <v>534600013</v>
      </c>
      <c r="C54" s="39" t="s">
        <v>46</v>
      </c>
      <c r="D54" s="12"/>
      <c r="E54" s="8"/>
      <c r="F54" s="3"/>
      <c r="G54" s="12"/>
      <c r="H54" s="8"/>
      <c r="I54" s="3"/>
      <c r="J54" s="12"/>
      <c r="K54" s="8"/>
      <c r="L54" s="3"/>
      <c r="M54" s="11"/>
      <c r="N54" s="8"/>
      <c r="O54" s="3"/>
      <c r="P54" s="12"/>
      <c r="Q54" s="8"/>
      <c r="R54" s="3"/>
    </row>
    <row r="55" spans="1:18" ht="22" hidden="1" x14ac:dyDescent="0.35">
      <c r="A55" s="6">
        <v>4</v>
      </c>
      <c r="B55" s="38">
        <v>534600014</v>
      </c>
      <c r="C55" s="39" t="s">
        <v>47</v>
      </c>
      <c r="D55" s="12"/>
      <c r="E55" s="8"/>
      <c r="F55" s="3"/>
      <c r="G55" s="12"/>
      <c r="H55" s="8"/>
      <c r="I55" s="3"/>
      <c r="J55" s="12"/>
      <c r="K55" s="8"/>
      <c r="L55" s="3"/>
      <c r="M55" s="11"/>
      <c r="N55" s="8"/>
      <c r="O55" s="3"/>
      <c r="P55" s="12"/>
      <c r="Q55" s="8"/>
      <c r="R55" s="3"/>
    </row>
    <row r="56" spans="1:18" ht="22" hidden="1" x14ac:dyDescent="0.35">
      <c r="A56" s="6">
        <v>5</v>
      </c>
      <c r="B56" s="38">
        <v>534600017</v>
      </c>
      <c r="C56" s="39" t="s">
        <v>48</v>
      </c>
      <c r="D56" s="12"/>
      <c r="E56" s="8"/>
      <c r="F56" s="3"/>
      <c r="G56" s="12"/>
      <c r="H56" s="8"/>
      <c r="I56" s="3"/>
      <c r="J56" s="12"/>
      <c r="K56" s="8"/>
      <c r="L56" s="3"/>
      <c r="M56" s="11"/>
      <c r="N56" s="8"/>
      <c r="O56" s="3"/>
      <c r="P56" s="12"/>
      <c r="Q56" s="8"/>
      <c r="R56" s="3"/>
    </row>
    <row r="57" spans="1:18" ht="22" hidden="1" x14ac:dyDescent="0.35">
      <c r="A57" s="6">
        <v>6</v>
      </c>
      <c r="B57" s="38">
        <v>534600018</v>
      </c>
      <c r="C57" s="39" t="s">
        <v>49</v>
      </c>
      <c r="D57" s="12"/>
      <c r="E57" s="8"/>
      <c r="F57" s="3"/>
      <c r="G57" s="12"/>
      <c r="H57" s="8"/>
      <c r="I57" s="3"/>
      <c r="J57" s="12"/>
      <c r="K57" s="8"/>
      <c r="L57" s="3"/>
      <c r="M57" s="11"/>
      <c r="N57" s="8"/>
      <c r="O57" s="3"/>
      <c r="P57" s="12"/>
      <c r="Q57" s="8"/>
      <c r="R57" s="3"/>
    </row>
    <row r="58" spans="1:18" ht="22" hidden="1" x14ac:dyDescent="0.35">
      <c r="A58" s="6">
        <v>7</v>
      </c>
      <c r="B58" s="38">
        <v>534600019</v>
      </c>
      <c r="C58" s="39" t="s">
        <v>50</v>
      </c>
      <c r="D58" s="12"/>
      <c r="E58" s="8"/>
      <c r="F58" s="3"/>
      <c r="G58" s="12"/>
      <c r="H58" s="8"/>
      <c r="I58" s="3"/>
      <c r="J58" s="12"/>
      <c r="K58" s="8"/>
      <c r="L58" s="3"/>
      <c r="M58" s="11"/>
      <c r="N58" s="8"/>
      <c r="O58" s="3"/>
      <c r="P58" s="12"/>
      <c r="Q58" s="8"/>
      <c r="R58" s="3"/>
    </row>
    <row r="59" spans="1:18" ht="22" hidden="1" x14ac:dyDescent="0.35">
      <c r="A59" s="6">
        <v>8</v>
      </c>
      <c r="B59" s="38">
        <v>534600020</v>
      </c>
      <c r="C59" s="39" t="s">
        <v>51</v>
      </c>
      <c r="D59" s="12"/>
      <c r="E59" s="8"/>
      <c r="F59" s="3"/>
      <c r="G59" s="12"/>
      <c r="H59" s="8"/>
      <c r="I59" s="3"/>
      <c r="J59" s="12"/>
      <c r="K59" s="8"/>
      <c r="L59" s="3"/>
      <c r="M59" s="11"/>
      <c r="N59" s="8"/>
      <c r="O59" s="3"/>
      <c r="P59" s="12"/>
      <c r="Q59" s="8"/>
      <c r="R59" s="3"/>
    </row>
    <row r="60" spans="1:18" hidden="1" x14ac:dyDescent="0.35">
      <c r="C60" s="42" t="s">
        <v>13</v>
      </c>
      <c r="D60" s="9"/>
      <c r="G60" s="9"/>
      <c r="J60" s="9"/>
      <c r="M60" s="9"/>
      <c r="P60" s="9"/>
    </row>
    <row r="61" spans="1:18" hidden="1" x14ac:dyDescent="0.35">
      <c r="C61" s="42" t="s">
        <v>14</v>
      </c>
      <c r="D61" s="9"/>
      <c r="F61" s="5"/>
      <c r="G61" s="9"/>
      <c r="J61" s="9"/>
      <c r="L61" s="5"/>
      <c r="M61" s="9"/>
      <c r="P61" s="9"/>
    </row>
    <row r="62" spans="1:18" hidden="1" x14ac:dyDescent="0.35">
      <c r="C62" s="42"/>
      <c r="D62" s="9"/>
      <c r="F62" s="5"/>
      <c r="G62" s="9"/>
      <c r="J62" s="9"/>
      <c r="L62" s="5"/>
      <c r="M62" s="9"/>
    </row>
    <row r="63" spans="1:18" hidden="1" x14ac:dyDescent="0.35">
      <c r="C63" s="42"/>
      <c r="D63" s="9"/>
      <c r="F63" s="5"/>
      <c r="G63" s="9"/>
      <c r="J63" s="9"/>
      <c r="L63" s="5"/>
      <c r="M63" s="9"/>
    </row>
    <row r="64" spans="1:18" hidden="1" x14ac:dyDescent="0.35">
      <c r="A64" s="204" t="s">
        <v>5</v>
      </c>
      <c r="B64" s="204" t="s">
        <v>12</v>
      </c>
      <c r="C64" s="204" t="s">
        <v>0</v>
      </c>
      <c r="D64" s="207" t="s">
        <v>26</v>
      </c>
      <c r="E64" s="207"/>
      <c r="F64" s="207"/>
      <c r="G64" s="207" t="s">
        <v>27</v>
      </c>
      <c r="H64" s="207"/>
      <c r="I64" s="207"/>
      <c r="J64" s="207" t="s">
        <v>28</v>
      </c>
      <c r="K64" s="207"/>
      <c r="L64" s="207"/>
      <c r="M64" s="207" t="s">
        <v>29</v>
      </c>
      <c r="N64" s="207"/>
      <c r="O64" s="207"/>
      <c r="P64" s="214" t="s">
        <v>30</v>
      </c>
      <c r="Q64" s="215"/>
      <c r="R64" s="216"/>
    </row>
    <row r="65" spans="1:21" hidden="1" x14ac:dyDescent="0.35">
      <c r="A65" s="204"/>
      <c r="B65" s="204"/>
      <c r="C65" s="204"/>
      <c r="D65" s="44" t="s">
        <v>17</v>
      </c>
      <c r="E65" s="44" t="s">
        <v>6</v>
      </c>
      <c r="F65" s="44" t="s">
        <v>3</v>
      </c>
      <c r="G65" s="44" t="s">
        <v>17</v>
      </c>
      <c r="H65" s="44" t="s">
        <v>6</v>
      </c>
      <c r="I65" s="44" t="s">
        <v>3</v>
      </c>
      <c r="J65" s="44" t="s">
        <v>17</v>
      </c>
      <c r="K65" s="44" t="s">
        <v>6</v>
      </c>
      <c r="L65" s="44" t="s">
        <v>3</v>
      </c>
      <c r="M65" s="44" t="s">
        <v>17</v>
      </c>
      <c r="N65" s="44" t="s">
        <v>6</v>
      </c>
      <c r="O65" s="44" t="s">
        <v>3</v>
      </c>
      <c r="P65" s="44" t="s">
        <v>17</v>
      </c>
      <c r="Q65" s="44" t="s">
        <v>6</v>
      </c>
      <c r="R65" s="44" t="s">
        <v>3</v>
      </c>
    </row>
    <row r="66" spans="1:21" hidden="1" x14ac:dyDescent="0.35">
      <c r="A66" s="204"/>
      <c r="B66" s="204"/>
      <c r="C66" s="204"/>
      <c r="D66" s="14"/>
      <c r="E66" s="14"/>
      <c r="F66" s="34"/>
      <c r="G66" s="14"/>
      <c r="H66" s="14"/>
      <c r="I66" s="34"/>
      <c r="J66" s="14"/>
      <c r="K66" s="14"/>
      <c r="L66" s="34"/>
      <c r="M66" s="14"/>
      <c r="N66" s="14"/>
      <c r="O66" s="34"/>
      <c r="P66" s="43"/>
      <c r="Q66" s="43"/>
      <c r="R66" s="34"/>
    </row>
    <row r="67" spans="1:21" ht="22" hidden="1" x14ac:dyDescent="0.35">
      <c r="A67" s="6">
        <v>1</v>
      </c>
      <c r="B67" s="38">
        <v>534600011</v>
      </c>
      <c r="C67" s="39" t="s">
        <v>44</v>
      </c>
      <c r="D67" s="12"/>
      <c r="E67" s="8"/>
      <c r="F67" s="3"/>
      <c r="G67" s="12"/>
      <c r="H67" s="8"/>
      <c r="I67" s="3"/>
      <c r="J67" s="12"/>
      <c r="K67" s="8"/>
      <c r="L67" s="3"/>
      <c r="M67" s="17"/>
      <c r="N67" s="8"/>
      <c r="O67" s="3"/>
      <c r="P67" s="15"/>
      <c r="Q67" s="8"/>
      <c r="R67" s="3"/>
    </row>
    <row r="68" spans="1:21" ht="22" hidden="1" x14ac:dyDescent="0.35">
      <c r="A68" s="6">
        <v>2</v>
      </c>
      <c r="B68" s="38">
        <v>534600012</v>
      </c>
      <c r="C68" s="39" t="s">
        <v>45</v>
      </c>
      <c r="D68" s="12"/>
      <c r="E68" s="8"/>
      <c r="F68" s="3"/>
      <c r="G68" s="12"/>
      <c r="H68" s="8"/>
      <c r="I68" s="3"/>
      <c r="J68" s="12"/>
      <c r="K68" s="8"/>
      <c r="L68" s="3"/>
      <c r="M68" s="17"/>
      <c r="N68" s="8"/>
      <c r="O68" s="3"/>
      <c r="P68" s="15"/>
      <c r="Q68" s="8"/>
      <c r="R68" s="3"/>
    </row>
    <row r="69" spans="1:21" ht="22" hidden="1" x14ac:dyDescent="0.35">
      <c r="A69" s="6">
        <v>3</v>
      </c>
      <c r="B69" s="38">
        <v>534600013</v>
      </c>
      <c r="C69" s="39" t="s">
        <v>46</v>
      </c>
      <c r="D69" s="12"/>
      <c r="E69" s="8"/>
      <c r="F69" s="3"/>
      <c r="G69" s="12"/>
      <c r="H69" s="8"/>
      <c r="I69" s="3"/>
      <c r="J69" s="12"/>
      <c r="K69" s="8"/>
      <c r="L69" s="3"/>
      <c r="M69" s="17"/>
      <c r="N69" s="8"/>
      <c r="O69" s="3"/>
      <c r="P69" s="15"/>
      <c r="Q69" s="8"/>
      <c r="R69" s="3"/>
    </row>
    <row r="70" spans="1:21" ht="22" hidden="1" x14ac:dyDescent="0.35">
      <c r="A70" s="6">
        <v>4</v>
      </c>
      <c r="B70" s="38">
        <v>534600014</v>
      </c>
      <c r="C70" s="39" t="s">
        <v>47</v>
      </c>
      <c r="D70" s="12"/>
      <c r="E70" s="8"/>
      <c r="F70" s="3"/>
      <c r="G70" s="12"/>
      <c r="H70" s="8"/>
      <c r="I70" s="3"/>
      <c r="J70" s="12"/>
      <c r="K70" s="8"/>
      <c r="L70" s="3"/>
      <c r="M70" s="17"/>
      <c r="N70" s="8"/>
      <c r="O70" s="3"/>
      <c r="P70" s="15"/>
      <c r="Q70" s="8"/>
      <c r="R70" s="3"/>
    </row>
    <row r="71" spans="1:21" ht="22" hidden="1" x14ac:dyDescent="0.35">
      <c r="A71" s="6">
        <v>5</v>
      </c>
      <c r="B71" s="38">
        <v>534600017</v>
      </c>
      <c r="C71" s="39" t="s">
        <v>48</v>
      </c>
      <c r="D71" s="12"/>
      <c r="E71" s="8"/>
      <c r="F71" s="3"/>
      <c r="G71" s="12"/>
      <c r="H71" s="8"/>
      <c r="I71" s="3"/>
      <c r="J71" s="12"/>
      <c r="K71" s="8"/>
      <c r="L71" s="3"/>
      <c r="M71" s="17"/>
      <c r="N71" s="8"/>
      <c r="O71" s="3"/>
      <c r="P71" s="15"/>
      <c r="Q71" s="8"/>
      <c r="R71" s="3"/>
    </row>
    <row r="72" spans="1:21" ht="22" hidden="1" x14ac:dyDescent="0.35">
      <c r="A72" s="6">
        <v>6</v>
      </c>
      <c r="B72" s="38">
        <v>534600018</v>
      </c>
      <c r="C72" s="39" t="s">
        <v>49</v>
      </c>
      <c r="D72" s="12"/>
      <c r="E72" s="8"/>
      <c r="F72" s="3"/>
      <c r="G72" s="12"/>
      <c r="H72" s="8"/>
      <c r="I72" s="3"/>
      <c r="J72" s="12"/>
      <c r="K72" s="8"/>
      <c r="L72" s="3"/>
      <c r="M72" s="17"/>
      <c r="N72" s="8"/>
      <c r="O72" s="3"/>
      <c r="P72" s="15"/>
      <c r="Q72" s="8"/>
      <c r="R72" s="3"/>
    </row>
    <row r="73" spans="1:21" ht="22" hidden="1" x14ac:dyDescent="0.35">
      <c r="A73" s="6">
        <v>7</v>
      </c>
      <c r="B73" s="38">
        <v>534600019</v>
      </c>
      <c r="C73" s="39" t="s">
        <v>50</v>
      </c>
      <c r="D73" s="12"/>
      <c r="E73" s="8"/>
      <c r="F73" s="3"/>
      <c r="G73" s="12"/>
      <c r="H73" s="8"/>
      <c r="I73" s="3"/>
      <c r="J73" s="12"/>
      <c r="K73" s="8"/>
      <c r="L73" s="3"/>
      <c r="M73" s="17"/>
      <c r="N73" s="8"/>
      <c r="O73" s="3"/>
      <c r="P73" s="15"/>
      <c r="Q73" s="8"/>
      <c r="R73" s="3"/>
    </row>
    <row r="74" spans="1:21" ht="22" hidden="1" x14ac:dyDescent="0.35">
      <c r="A74" s="6">
        <v>8</v>
      </c>
      <c r="B74" s="38">
        <v>534600020</v>
      </c>
      <c r="C74" s="39" t="s">
        <v>51</v>
      </c>
      <c r="D74" s="12"/>
      <c r="E74" s="8"/>
      <c r="F74" s="3"/>
      <c r="G74" s="12"/>
      <c r="H74" s="8"/>
      <c r="I74" s="3"/>
      <c r="J74" s="12"/>
      <c r="K74" s="8"/>
      <c r="L74" s="3"/>
      <c r="M74" s="17"/>
      <c r="N74" s="8"/>
      <c r="O74" s="3"/>
      <c r="P74" s="15"/>
      <c r="Q74" s="8"/>
      <c r="R74" s="3"/>
      <c r="U74" s="1" t="s">
        <v>2</v>
      </c>
    </row>
    <row r="75" spans="1:21" hidden="1" x14ac:dyDescent="0.35">
      <c r="C75" s="42" t="s">
        <v>13</v>
      </c>
      <c r="D75" s="9"/>
      <c r="G75" s="9"/>
      <c r="J75" s="9"/>
      <c r="M75" s="9"/>
      <c r="P75" s="9"/>
    </row>
    <row r="76" spans="1:21" hidden="1" x14ac:dyDescent="0.35">
      <c r="C76" s="42" t="s">
        <v>14</v>
      </c>
      <c r="D76" s="9"/>
      <c r="F76" s="5"/>
      <c r="G76" s="9"/>
      <c r="J76" s="9"/>
      <c r="L76" s="5"/>
      <c r="M76" s="9"/>
      <c r="P76" s="9"/>
    </row>
    <row r="77" spans="1:21" hidden="1" x14ac:dyDescent="0.35">
      <c r="C77" s="42"/>
      <c r="D77" s="9"/>
      <c r="F77" s="5"/>
      <c r="G77" s="9"/>
      <c r="J77" s="9"/>
      <c r="L77" s="5"/>
      <c r="M77" s="9"/>
      <c r="P77" s="1" t="s">
        <v>2</v>
      </c>
    </row>
    <row r="78" spans="1:21" hidden="1" x14ac:dyDescent="0.35">
      <c r="C78" s="42"/>
      <c r="D78" s="9"/>
      <c r="F78" s="5"/>
      <c r="G78" s="9"/>
      <c r="J78" s="9"/>
      <c r="L78" s="5"/>
      <c r="M78" s="9"/>
    </row>
    <row r="79" spans="1:21" hidden="1" x14ac:dyDescent="0.35">
      <c r="A79" s="204" t="s">
        <v>5</v>
      </c>
      <c r="B79" s="204" t="s">
        <v>12</v>
      </c>
      <c r="C79" s="204" t="s">
        <v>0</v>
      </c>
      <c r="D79" s="207" t="s">
        <v>31</v>
      </c>
      <c r="E79" s="207"/>
      <c r="F79" s="207"/>
      <c r="G79" s="207" t="s">
        <v>32</v>
      </c>
      <c r="H79" s="207"/>
      <c r="I79" s="207"/>
      <c r="J79" s="207" t="s">
        <v>33</v>
      </c>
      <c r="K79" s="207"/>
      <c r="L79" s="207"/>
      <c r="M79" s="207" t="s">
        <v>34</v>
      </c>
      <c r="N79" s="207"/>
      <c r="O79" s="207"/>
      <c r="P79" s="214" t="s">
        <v>35</v>
      </c>
      <c r="Q79" s="215"/>
      <c r="R79" s="216"/>
    </row>
    <row r="80" spans="1:21" hidden="1" x14ac:dyDescent="0.35">
      <c r="A80" s="204"/>
      <c r="B80" s="204"/>
      <c r="C80" s="204"/>
      <c r="D80" s="44" t="s">
        <v>17</v>
      </c>
      <c r="E80" s="44" t="s">
        <v>6</v>
      </c>
      <c r="F80" s="44" t="s">
        <v>3</v>
      </c>
      <c r="G80" s="44" t="s">
        <v>17</v>
      </c>
      <c r="H80" s="44" t="s">
        <v>6</v>
      </c>
      <c r="I80" s="44" t="s">
        <v>3</v>
      </c>
      <c r="J80" s="44" t="s">
        <v>17</v>
      </c>
      <c r="K80" s="44" t="s">
        <v>6</v>
      </c>
      <c r="L80" s="44" t="s">
        <v>3</v>
      </c>
      <c r="M80" s="44" t="s">
        <v>17</v>
      </c>
      <c r="N80" s="44" t="s">
        <v>6</v>
      </c>
      <c r="O80" s="44" t="s">
        <v>3</v>
      </c>
      <c r="P80" s="44" t="s">
        <v>17</v>
      </c>
      <c r="Q80" s="44" t="s">
        <v>6</v>
      </c>
      <c r="R80" s="44" t="s">
        <v>3</v>
      </c>
    </row>
    <row r="81" spans="1:22" hidden="1" x14ac:dyDescent="0.35">
      <c r="A81" s="204"/>
      <c r="B81" s="204"/>
      <c r="C81" s="204"/>
      <c r="D81" s="14"/>
      <c r="E81" s="14"/>
      <c r="F81" s="34"/>
      <c r="G81" s="14"/>
      <c r="H81" s="14"/>
      <c r="I81" s="36"/>
      <c r="J81" s="14"/>
      <c r="K81" s="14"/>
      <c r="L81" s="34"/>
      <c r="M81" s="14"/>
      <c r="N81" s="14"/>
      <c r="O81" s="34"/>
      <c r="P81" s="43"/>
      <c r="Q81" s="43"/>
      <c r="R81" s="35"/>
    </row>
    <row r="82" spans="1:22" ht="22" hidden="1" x14ac:dyDescent="0.35">
      <c r="A82" s="6">
        <v>1</v>
      </c>
      <c r="B82" s="38">
        <v>534600011</v>
      </c>
      <c r="C82" s="39" t="s">
        <v>44</v>
      </c>
      <c r="D82" s="12"/>
      <c r="E82" s="8"/>
      <c r="F82" s="3"/>
      <c r="G82" s="12"/>
      <c r="H82" s="8"/>
      <c r="I82" s="3"/>
      <c r="J82" s="12"/>
      <c r="K82" s="8"/>
      <c r="L82" s="3"/>
      <c r="M82" s="17"/>
      <c r="N82" s="8"/>
      <c r="O82" s="3"/>
      <c r="P82" s="12"/>
      <c r="Q82" s="8"/>
      <c r="R82" s="3"/>
    </row>
    <row r="83" spans="1:22" ht="22" hidden="1" x14ac:dyDescent="0.35">
      <c r="A83" s="6">
        <v>2</v>
      </c>
      <c r="B83" s="38">
        <v>534600012</v>
      </c>
      <c r="C83" s="39" t="s">
        <v>45</v>
      </c>
      <c r="D83" s="12"/>
      <c r="E83" s="8"/>
      <c r="F83" s="3"/>
      <c r="G83" s="12"/>
      <c r="H83" s="8"/>
      <c r="I83" s="3"/>
      <c r="J83" s="12"/>
      <c r="K83" s="8"/>
      <c r="L83" s="3"/>
      <c r="M83" s="17"/>
      <c r="N83" s="8"/>
      <c r="O83" s="3"/>
      <c r="P83" s="12"/>
      <c r="Q83" s="8"/>
      <c r="R83" s="3"/>
    </row>
    <row r="84" spans="1:22" ht="22" hidden="1" x14ac:dyDescent="0.35">
      <c r="A84" s="6">
        <v>3</v>
      </c>
      <c r="B84" s="38">
        <v>534600013</v>
      </c>
      <c r="C84" s="39" t="s">
        <v>46</v>
      </c>
      <c r="D84" s="12"/>
      <c r="E84" s="8"/>
      <c r="F84" s="3"/>
      <c r="G84" s="12"/>
      <c r="H84" s="8"/>
      <c r="I84" s="3"/>
      <c r="J84" s="12"/>
      <c r="K84" s="8"/>
      <c r="L84" s="3"/>
      <c r="M84" s="17"/>
      <c r="N84" s="8"/>
      <c r="O84" s="3"/>
      <c r="P84" s="12"/>
      <c r="Q84" s="8"/>
      <c r="R84" s="3"/>
    </row>
    <row r="85" spans="1:22" ht="22" hidden="1" x14ac:dyDescent="0.35">
      <c r="A85" s="6">
        <v>4</v>
      </c>
      <c r="B85" s="38">
        <v>534600014</v>
      </c>
      <c r="C85" s="39" t="s">
        <v>47</v>
      </c>
      <c r="D85" s="12"/>
      <c r="E85" s="8"/>
      <c r="F85" s="3"/>
      <c r="G85" s="12"/>
      <c r="H85" s="8"/>
      <c r="I85" s="3"/>
      <c r="J85" s="12"/>
      <c r="K85" s="8"/>
      <c r="L85" s="3"/>
      <c r="M85" s="17"/>
      <c r="N85" s="8"/>
      <c r="O85" s="3"/>
      <c r="P85" s="12"/>
      <c r="Q85" s="8"/>
      <c r="R85" s="3"/>
    </row>
    <row r="86" spans="1:22" ht="22" hidden="1" x14ac:dyDescent="0.35">
      <c r="A86" s="6">
        <v>5</v>
      </c>
      <c r="B86" s="38">
        <v>534600017</v>
      </c>
      <c r="C86" s="39" t="s">
        <v>48</v>
      </c>
      <c r="D86" s="12"/>
      <c r="E86" s="8"/>
      <c r="F86" s="3"/>
      <c r="G86" s="12"/>
      <c r="H86" s="8"/>
      <c r="I86" s="3"/>
      <c r="J86" s="12"/>
      <c r="K86" s="8"/>
      <c r="L86" s="3"/>
      <c r="M86" s="17"/>
      <c r="N86" s="8"/>
      <c r="O86" s="3"/>
      <c r="P86" s="12"/>
      <c r="Q86" s="8"/>
      <c r="R86" s="3"/>
    </row>
    <row r="87" spans="1:22" ht="22" hidden="1" x14ac:dyDescent="0.35">
      <c r="A87" s="6">
        <v>6</v>
      </c>
      <c r="B87" s="38">
        <v>534600018</v>
      </c>
      <c r="C87" s="39" t="s">
        <v>49</v>
      </c>
      <c r="D87" s="12"/>
      <c r="E87" s="8"/>
      <c r="F87" s="3"/>
      <c r="G87" s="12"/>
      <c r="H87" s="8"/>
      <c r="I87" s="3"/>
      <c r="J87" s="12"/>
      <c r="K87" s="8"/>
      <c r="L87" s="3"/>
      <c r="M87" s="17"/>
      <c r="N87" s="8"/>
      <c r="O87" s="3"/>
      <c r="P87" s="12"/>
      <c r="Q87" s="8"/>
      <c r="R87" s="3"/>
      <c r="V87" s="1" t="s">
        <v>2</v>
      </c>
    </row>
    <row r="88" spans="1:22" ht="22" hidden="1" x14ac:dyDescent="0.35">
      <c r="A88" s="6">
        <v>7</v>
      </c>
      <c r="B88" s="38">
        <v>534600019</v>
      </c>
      <c r="C88" s="39" t="s">
        <v>50</v>
      </c>
      <c r="D88" s="12"/>
      <c r="E88" s="8"/>
      <c r="F88" s="3"/>
      <c r="G88" s="12"/>
      <c r="H88" s="8"/>
      <c r="I88" s="3"/>
      <c r="J88" s="12"/>
      <c r="K88" s="8"/>
      <c r="L88" s="3"/>
      <c r="M88" s="17"/>
      <c r="N88" s="8"/>
      <c r="O88" s="3"/>
      <c r="P88" s="12"/>
      <c r="Q88" s="8"/>
      <c r="R88" s="3"/>
    </row>
    <row r="89" spans="1:22" ht="22" hidden="1" x14ac:dyDescent="0.35">
      <c r="A89" s="6">
        <v>8</v>
      </c>
      <c r="B89" s="38">
        <v>534600020</v>
      </c>
      <c r="C89" s="39" t="s">
        <v>51</v>
      </c>
      <c r="D89" s="12"/>
      <c r="E89" s="8"/>
      <c r="F89" s="3"/>
      <c r="G89" s="12"/>
      <c r="H89" s="8"/>
      <c r="I89" s="3"/>
      <c r="J89" s="12"/>
      <c r="K89" s="8"/>
      <c r="L89" s="3"/>
      <c r="M89" s="17"/>
      <c r="N89" s="8"/>
      <c r="O89" s="3"/>
      <c r="P89" s="12"/>
      <c r="Q89" s="8"/>
      <c r="R89" s="3"/>
    </row>
    <row r="90" spans="1:22" hidden="1" x14ac:dyDescent="0.35">
      <c r="C90" s="42" t="s">
        <v>13</v>
      </c>
      <c r="D90" s="9"/>
      <c r="G90" s="9"/>
      <c r="J90" s="9"/>
      <c r="M90" s="9"/>
      <c r="P90" s="9"/>
      <c r="U90" s="1" t="s">
        <v>2</v>
      </c>
    </row>
    <row r="91" spans="1:22" hidden="1" x14ac:dyDescent="0.35">
      <c r="C91" s="42" t="s">
        <v>14</v>
      </c>
      <c r="D91" s="9"/>
      <c r="F91" s="5"/>
      <c r="G91" s="9"/>
      <c r="J91" s="9"/>
      <c r="L91" s="5"/>
      <c r="M91" s="9"/>
      <c r="P91" s="9"/>
    </row>
    <row r="92" spans="1:22" hidden="1" x14ac:dyDescent="0.35">
      <c r="C92" s="42"/>
      <c r="D92" s="9"/>
      <c r="F92" s="5"/>
      <c r="G92" s="9"/>
      <c r="J92" s="9"/>
      <c r="L92" s="5"/>
      <c r="M92" s="9"/>
      <c r="P92" s="9"/>
      <c r="S92" s="2"/>
      <c r="T92" s="2"/>
    </row>
    <row r="93" spans="1:22" x14ac:dyDescent="0.35">
      <c r="C93" s="42"/>
      <c r="D93" s="9"/>
      <c r="F93" s="5"/>
      <c r="G93" s="9"/>
      <c r="J93" s="9"/>
      <c r="L93" s="5"/>
      <c r="M93" s="9"/>
      <c r="P93" s="9"/>
      <c r="S93" s="2" t="str">
        <f>IF($E$112="A","4",IF($E$112="B+","3.5",IF($E$112="B","3",IF($E$112="C+","2.5",IF($E$112="C","2",IF($E$112="D+","1.5",IF($E$112="D","1","-")))))))</f>
        <v>4</v>
      </c>
      <c r="T93" s="2" t="str">
        <f>IF(S93="4","A",IF(S93="3.5","B+",IF(S93="3","B",IF(S93="2.5","C+",IF(S93="2","C",IF(S93="1.5","D+",IF(S93="1","D","-")))))))</f>
        <v>A</v>
      </c>
    </row>
    <row r="94" spans="1:22" x14ac:dyDescent="0.35">
      <c r="C94" s="42"/>
      <c r="D94" s="9"/>
      <c r="F94" s="5"/>
      <c r="G94" s="9"/>
      <c r="S94" s="2">
        <f>$S$93-0.5</f>
        <v>3.5</v>
      </c>
      <c r="T94" s="2" t="str">
        <f>IF(S94=4,"A",IF(S94=3.5,"B+",IF(S94=3,"B",IF(S94=2.5,"C+",IF(S94=2,"C",IF(S94=1.5,"D+",IF(S94=1,"D","E")))))))</f>
        <v>B+</v>
      </c>
    </row>
    <row r="95" spans="1:22" ht="22" thickBot="1" x14ac:dyDescent="0.4">
      <c r="A95" s="217" t="s">
        <v>76</v>
      </c>
      <c r="B95" s="217" t="s">
        <v>12</v>
      </c>
      <c r="C95" s="217" t="s">
        <v>0</v>
      </c>
      <c r="D95" s="217" t="s">
        <v>1</v>
      </c>
      <c r="E95" s="217"/>
      <c r="F95" s="217"/>
      <c r="G95" s="217"/>
      <c r="I95" s="5" t="s">
        <v>38</v>
      </c>
      <c r="J95" s="9"/>
      <c r="L95" s="5"/>
      <c r="N95" s="5" t="s">
        <v>39</v>
      </c>
      <c r="P95" s="9"/>
      <c r="S95" s="2">
        <f>$S$93-1</f>
        <v>3</v>
      </c>
      <c r="T95" s="2" t="str">
        <f t="shared" ref="T95:T96" si="26">IF(S95=4,"A",IF(S95=3.5,"B+",IF(S95=3,"B",IF(S95=2.5,"C+",IF(S95=2,"C",IF(S95=1.5,"D+",IF(S95=1,"D","E")))))))</f>
        <v>B</v>
      </c>
    </row>
    <row r="96" spans="1:22" ht="22" thickBot="1" x14ac:dyDescent="0.4">
      <c r="A96" s="217"/>
      <c r="B96" s="217"/>
      <c r="C96" s="217"/>
      <c r="D96" s="30" t="str">
        <f>SUM(E7,H7,K7,N7,Q7,E21,H21,K21,N21,Q21,E36,H36,K36,N36,Q36,E51,H51,K51,N51,Q51,E66,H66,K66,N66,Q66,E81,H81,K81,N81,Q81)&amp;"%"</f>
        <v>100%</v>
      </c>
      <c r="E96" s="30" t="str">
        <f>SUM(F7,I7,L7,O7,R7,F21,I21,L21,O21,R21,F36,I36,L36,O36,R36,F51,I51,L51,O51,R51,F66,I66,L66,O66,R66,F81,I81,L81,O81,R81)&amp;"T"</f>
        <v>10T</v>
      </c>
      <c r="F96" s="44" t="s">
        <v>36</v>
      </c>
      <c r="G96" s="44" t="s">
        <v>37</v>
      </c>
      <c r="I96" s="25" t="s">
        <v>15</v>
      </c>
      <c r="J96" s="25" t="s">
        <v>16</v>
      </c>
      <c r="K96" s="25" t="s">
        <v>4</v>
      </c>
      <c r="L96" s="25" t="s">
        <v>1</v>
      </c>
      <c r="N96" s="25" t="s">
        <v>15</v>
      </c>
      <c r="O96" s="29"/>
      <c r="P96" s="25" t="s">
        <v>16</v>
      </c>
      <c r="Q96" s="25" t="s">
        <v>4</v>
      </c>
      <c r="R96" s="25" t="s">
        <v>1</v>
      </c>
      <c r="S96" s="2">
        <f>$S$93-1.5</f>
        <v>2.5</v>
      </c>
      <c r="T96" s="2" t="str">
        <f t="shared" si="26"/>
        <v>C+</v>
      </c>
    </row>
    <row r="97" spans="1:20" ht="22" x14ac:dyDescent="0.35">
      <c r="A97" s="47">
        <v>8</v>
      </c>
      <c r="B97" s="59">
        <v>5546000007</v>
      </c>
      <c r="C97" s="60" t="s">
        <v>123</v>
      </c>
      <c r="D97" s="61">
        <f t="shared" ref="D97:E103" si="27">ROUND(SUM(E8,H8,K8,N8,Q8,E22,H22,K22,N22,Q22,E37,H37,K37,N37,Q37,E52,H52,K52,N52,Q52,E67,H67,K67,N67,Q67,E82,H82,K82,N82,Q82),2)</f>
        <v>91.08</v>
      </c>
      <c r="E97" s="61">
        <f t="shared" si="27"/>
        <v>496.51</v>
      </c>
      <c r="F97" s="46" t="str">
        <f>IF($I$100="-","-",IF(E97&gt;=$I$97,$K$97,IF(E97&gt;=$I$98,$K$98,IF(E97&gt;=$I$99,$K$99,IF(E97&gt;=$I$100,$K$100,IF(E97&gt;=$I$101,$K$101,IF(E97&gt;=$I$102,$K$102,IF(E97&gt;=$I$103,$K$103,IF(E97&gt;=$I$104,$K$104)))))))))</f>
        <v>-</v>
      </c>
      <c r="G97" s="46" t="str">
        <f>IF($O$100="-","-",IF(E97&gt;=$N$97,$Q$97,IF(E97&gt;=$N$98,$Q$98,IF(E97&gt;=$N$99,$Q$99,IF(E97&gt;=$N$100,$Q$100,IF(E97&gt;=$N$101,$Q$101,IF(E97&gt;=$N$102,$Q$102,IF(E97&lt;=$P$103,$Q$103))))))))</f>
        <v>B+</v>
      </c>
      <c r="I97" s="26" t="str">
        <f>IF(OR($E$110=8),$J$98+0.01,"-")</f>
        <v>-</v>
      </c>
      <c r="J97" s="26" t="str">
        <f>IF(OR($E$110=8),$I$97+$E$111,"-")</f>
        <v>-</v>
      </c>
      <c r="K97" s="27" t="str">
        <f>IF($E$110=8,$T$93,"-")</f>
        <v>-</v>
      </c>
      <c r="L97" s="27" t="str">
        <f t="shared" ref="L97:L103" si="28">IF(F97="-","-",COUNTIF($F$97:$F$104,K97))</f>
        <v>-</v>
      </c>
      <c r="M97" s="20" t="e">
        <f>IF($O$100="-",J97-I97,P97-N97)</f>
        <v>#VALUE!</v>
      </c>
      <c r="N97" s="26" t="str">
        <f>IF(OR($E$110=7),$P$98+0.01,"-")</f>
        <v>-</v>
      </c>
      <c r="O97" s="28"/>
      <c r="P97" s="26" t="str">
        <f>IF(OR($E$110=7),$N$97+$E$111,"-")</f>
        <v>-</v>
      </c>
      <c r="Q97" s="27" t="str">
        <f>IF($E$110=7,$T$93,"-")</f>
        <v>-</v>
      </c>
      <c r="R97" s="27">
        <f t="shared" ref="R97:R103" si="29">IF(G97="-","-",COUNTIF($G$97:$G$104,Q97))</f>
        <v>0</v>
      </c>
      <c r="S97" s="2">
        <f>$S$93-2</f>
        <v>2</v>
      </c>
      <c r="T97" s="2" t="str">
        <f>IF(S97=4,"A",IF(S97=3.5,"B+",IF(S97=3,"B",IF(S97=2.5,"C+",IF(S97=2,"C",IF(S97=1.5,"D+",IF(S97=1,"D","E")))))))</f>
        <v>C</v>
      </c>
    </row>
    <row r="98" spans="1:20" ht="22" x14ac:dyDescent="0.35">
      <c r="A98" s="47">
        <v>18</v>
      </c>
      <c r="B98" s="59">
        <v>5546000017</v>
      </c>
      <c r="C98" s="60" t="s">
        <v>124</v>
      </c>
      <c r="D98" s="61">
        <f t="shared" si="27"/>
        <v>89.1</v>
      </c>
      <c r="E98" s="61">
        <f t="shared" si="27"/>
        <v>403.89</v>
      </c>
      <c r="F98" s="46" t="str">
        <f t="shared" ref="F98:F104" si="30">IF($I$100="-","-",IF(E98&gt;=$I$97,$K$97,IF(E98&gt;=$I$98,$K$98,IF(E98&gt;=$I$99,$K$99,IF(E98&gt;=$I$100,$K$100,IF(E98&gt;=$I$101,$K$101,IF(E98&gt;=$I$102,$K$102,IF(E98&gt;=$I$103,$K$103,IF(E98&gt;=$I$104,$K$104)))))))))</f>
        <v>-</v>
      </c>
      <c r="G98" s="46" t="str">
        <f t="shared" ref="G98:G104" si="31">IF($O$100="-","-",IF(E98&gt;=$N$97,$Q$97,IF(E98&gt;=$N$98,$Q$98,IF(E98&gt;=$N$99,$Q$99,IF(E98&gt;=$N$100,$Q$100,IF(E98&gt;=$N$101,$Q$101,IF(E98&gt;=$N$102,$Q$102,IF(E98&lt;=$P$103,$Q$103))))))))</f>
        <v>B</v>
      </c>
      <c r="I98" s="8" t="str">
        <f>IF(OR($E$110=8,$E$110=6),$J$99+0.01,"-")</f>
        <v>-</v>
      </c>
      <c r="J98" s="8" t="str">
        <f>IF(OR($E$110=8,$E$110=6),$I$98+$E$111,"-")</f>
        <v>-</v>
      </c>
      <c r="K98" s="7" t="str">
        <f>IF($E$110=8,$T$94,IF($E$110=6,$T$93,"-"))</f>
        <v>-</v>
      </c>
      <c r="L98" s="7" t="str">
        <f t="shared" si="28"/>
        <v>-</v>
      </c>
      <c r="M98" s="20" t="e">
        <f t="shared" ref="M98:M104" si="32">IF($O$100="-",J98-I98,P98-N98)</f>
        <v>#VALUE!</v>
      </c>
      <c r="N98" s="8" t="str">
        <f>IF(OR($E$110=5,$E$110=7),$P$99+0.01,"-")</f>
        <v>-</v>
      </c>
      <c r="O98" s="13"/>
      <c r="P98" s="8" t="str">
        <f>IF(OR($E$110=5,$E$110=7),$N$98+$E$111,"-")</f>
        <v>-</v>
      </c>
      <c r="Q98" s="7" t="str">
        <f>IF($E$110=7,$T$94,IF($E$110=5,$T$93,"-"))</f>
        <v>-</v>
      </c>
      <c r="R98" s="7">
        <f t="shared" si="29"/>
        <v>0</v>
      </c>
      <c r="S98" s="2">
        <f>$S$93-2.5</f>
        <v>1.5</v>
      </c>
      <c r="T98" s="2" t="str">
        <f>IF(S98=4,"A",IF(S98=3.5,"B+",IF(S98=3,"B",IF(S98=2.5,"C+",IF(S98=2,"C",IF(S98=1.5,"D+",IF(S98=1,"D","E")))))))</f>
        <v>D+</v>
      </c>
    </row>
    <row r="99" spans="1:20" ht="22" x14ac:dyDescent="0.35">
      <c r="A99" s="6">
        <v>28</v>
      </c>
      <c r="B99" s="38">
        <v>5546000027</v>
      </c>
      <c r="C99" s="39" t="s">
        <v>125</v>
      </c>
      <c r="D99" s="8">
        <f t="shared" si="27"/>
        <v>92.44</v>
      </c>
      <c r="E99" s="8">
        <f t="shared" si="27"/>
        <v>513.30999999999995</v>
      </c>
      <c r="F99" s="7" t="str">
        <f t="shared" si="30"/>
        <v>-</v>
      </c>
      <c r="G99" s="7" t="str">
        <f t="shared" si="31"/>
        <v>B+</v>
      </c>
      <c r="I99" s="6" t="str">
        <f>IF(OR($E$110=8,$E$110=6,$E$110=4),$J$100+0.01,"-")</f>
        <v>-</v>
      </c>
      <c r="J99" s="6" t="str">
        <f>IF(OR($E$110=8,$E$110=6,$E$110=4),$I$99+$E$111,"-")</f>
        <v>-</v>
      </c>
      <c r="K99" s="7" t="str">
        <f>IF($E$110=8,$T$95,IF($E$110=6,$T$94,IF($E$110=4,$T$93,"-")))</f>
        <v>-</v>
      </c>
      <c r="L99" s="7" t="str">
        <f t="shared" si="28"/>
        <v>-</v>
      </c>
      <c r="M99" s="20">
        <f t="shared" si="32"/>
        <v>65.5</v>
      </c>
      <c r="N99" s="8">
        <f>IF(OR($E$110=3,$E$110=5,$E$110=7),$P$100+0.01,"-")</f>
        <v>532.76</v>
      </c>
      <c r="O99" s="13"/>
      <c r="P99" s="8">
        <f>IF(OR($E$110=3,$E$110=5,$E$110=7),$N$99+$E$111,"-")</f>
        <v>598.26</v>
      </c>
      <c r="Q99" s="7" t="str">
        <f>IF($E$110=7,$T$95,IF($E$110=5,$T$94,IF($E$110=3,$T$93,"-")))</f>
        <v>A</v>
      </c>
      <c r="R99" s="7">
        <f t="shared" si="29"/>
        <v>3</v>
      </c>
      <c r="S99" s="2">
        <f>$S$93-3</f>
        <v>1</v>
      </c>
      <c r="T99" s="2" t="str">
        <f>IF(S99=4,"A",IF(S99=3.5,"B+",IF(S99=3,"B",IF(S99=2.5,"C+",IF(S99=2,"C",IF(S99=1.5,"D+",IF(S99=1,"D","E")))))))</f>
        <v>D</v>
      </c>
    </row>
    <row r="100" spans="1:20" ht="22" x14ac:dyDescent="0.35">
      <c r="A100" s="6">
        <v>38</v>
      </c>
      <c r="B100" s="59">
        <v>5546000037</v>
      </c>
      <c r="C100" s="60" t="s">
        <v>126</v>
      </c>
      <c r="D100" s="61">
        <f t="shared" si="27"/>
        <v>90.05</v>
      </c>
      <c r="E100" s="61">
        <f t="shared" si="27"/>
        <v>440.68</v>
      </c>
      <c r="F100" s="46" t="str">
        <f>IF($I$100="-","-",IF(E100&gt;=$I$97,$K$97,IF(E100&gt;=$I$98,$K$98,IF(E100&gt;=$I$99,$K$99,IF(E100&gt;=$I$100,$K$100,IF(E100&gt;=$I$101,$K$101,IF(E100&gt;=$I$102,$K$102,IF(E100&gt;=$I$103,$K$103,IF(E100&gt;=$I$104,$K$104)))))))))</f>
        <v>-</v>
      </c>
      <c r="G100" s="46" t="str">
        <f t="shared" si="31"/>
        <v>B</v>
      </c>
      <c r="I100" s="31" t="str">
        <f>IF(OR($E$110=2,$E$110=4,$E$110=6,$E$110=8),$E$106,"-")</f>
        <v>-</v>
      </c>
      <c r="J100" s="8" t="str">
        <f>IF(OR($E$110=2,$E$110=4,$E$110=6,$E$110=8),$E$106+$E$111,"-")</f>
        <v>-</v>
      </c>
      <c r="K100" s="7" t="str">
        <f>IF($E$110=8,$T$96,IF($E$110=6,$T$95,IF($E$110=4,$T$94,IF($E$110=2,$T$93,"-"))))</f>
        <v>-</v>
      </c>
      <c r="L100" s="7" t="str">
        <f t="shared" si="28"/>
        <v>-</v>
      </c>
      <c r="M100" s="20">
        <f t="shared" si="32"/>
        <v>65.5</v>
      </c>
      <c r="N100" s="8">
        <f>IF(OR($E$110=1,$E$110=3,$E$110=5,$E$110=7),$E$106-($E$111/2),"-")</f>
        <v>467.25</v>
      </c>
      <c r="O100" s="31">
        <f>IF(OR($E$110=1,$E$110=3,$E$110=5,$E$110=7),$E$106,"-")</f>
        <v>500</v>
      </c>
      <c r="P100" s="8">
        <f>IF(OR($E$110=1,$E$110=3,$E$110=5,$E$110=7),$E$106+($E$111/2),"-")</f>
        <v>532.75</v>
      </c>
      <c r="Q100" s="7" t="str">
        <f>IF($E$110=7,$T$96,IF($E$110=5,$T$95,IF($E$110=3,$T$94,IF($E$110=1,$T$93,"-"))))</f>
        <v>B+</v>
      </c>
      <c r="R100" s="7">
        <f t="shared" si="29"/>
        <v>2</v>
      </c>
      <c r="S100" s="2">
        <f>$S$93-3.5</f>
        <v>0.5</v>
      </c>
      <c r="T100" s="2" t="str">
        <f>IF(S100=4,"A",IF(S100=3.5,"B+",IF(S100=3,"B",IF(S100=2.5,"C+",IF(S100=2,"C",IF(S100=1.5,"D+",IF(S100=1,"D","E")))))))</f>
        <v>E</v>
      </c>
    </row>
    <row r="101" spans="1:20" ht="22" x14ac:dyDescent="0.35">
      <c r="A101" s="6">
        <v>48</v>
      </c>
      <c r="B101" s="38">
        <v>5546000047</v>
      </c>
      <c r="C101" s="39" t="s">
        <v>127</v>
      </c>
      <c r="D101" s="8">
        <f t="shared" si="27"/>
        <v>88.54</v>
      </c>
      <c r="E101" s="8">
        <f t="shared" si="27"/>
        <v>418.41</v>
      </c>
      <c r="F101" s="7" t="str">
        <f t="shared" si="30"/>
        <v>-</v>
      </c>
      <c r="G101" s="7" t="str">
        <f t="shared" si="31"/>
        <v>B</v>
      </c>
      <c r="I101" s="6" t="str">
        <f>IF(OR($E$110=2,$E$110=4,$E$110=6,$E$110=8),$J$101-$E$111,"-")</f>
        <v>-</v>
      </c>
      <c r="J101" s="8" t="str">
        <f>IF(OR($E$110=2,$E$110=4,$E$110=6,$E$110=8),$I$100-0.01,"-")</f>
        <v>-</v>
      </c>
      <c r="K101" s="7" t="str">
        <f>IF($E$110=8,$T$97,IF($E$110=6,$T$96,IF($E$110=4,$T$95,IF($E$110=2,$T$94,"-"))))</f>
        <v>-</v>
      </c>
      <c r="L101" s="7" t="str">
        <f t="shared" si="28"/>
        <v>-</v>
      </c>
      <c r="M101" s="20">
        <f t="shared" si="32"/>
        <v>65.5</v>
      </c>
      <c r="N101" s="8">
        <f>IF(OR($E$110=3,$E$110=5,$E$110=7),$P$101-$E$111,"-")</f>
        <v>401.74</v>
      </c>
      <c r="O101" s="13"/>
      <c r="P101" s="8">
        <f>IF(OR($E$110=3,$E$110=5,$E$110=7),$N$100-0.01,"-")</f>
        <v>467.24</v>
      </c>
      <c r="Q101" s="7" t="str">
        <f>IF($E$110=7,$T$97,IF($E$110=5,$T$96,IF($E$110=3,$T$95,"-")))</f>
        <v>B</v>
      </c>
      <c r="R101" s="7">
        <f t="shared" si="29"/>
        <v>3</v>
      </c>
      <c r="S101" s="2">
        <f>$S$93-4</f>
        <v>0</v>
      </c>
      <c r="T101" s="2" t="str">
        <f>IF(S101=4,"A",IF(S101=3.5,"B+",IF(S101=3,"B",IF(S101=2.5,"C+",IF(S101=2,"C",IF(S101=1.5,"D+",IF(S101=1,"D","E")))))))</f>
        <v>E</v>
      </c>
    </row>
    <row r="102" spans="1:20" ht="22" x14ac:dyDescent="0.35">
      <c r="A102" s="6">
        <v>58</v>
      </c>
      <c r="B102" s="38">
        <v>5546000057</v>
      </c>
      <c r="C102" s="39" t="s">
        <v>128</v>
      </c>
      <c r="D102" s="8">
        <f t="shared" si="27"/>
        <v>92.26</v>
      </c>
      <c r="E102" s="8">
        <f t="shared" si="27"/>
        <v>547.34</v>
      </c>
      <c r="F102" s="7" t="str">
        <f t="shared" si="30"/>
        <v>-</v>
      </c>
      <c r="G102" s="7" t="str">
        <f t="shared" si="31"/>
        <v>A</v>
      </c>
      <c r="I102" s="47" t="str">
        <f>IF(OR($E$110=4,$E$110=6,$E$110=8),$J$102-$E$111,"-")</f>
        <v>-</v>
      </c>
      <c r="J102" s="6" t="str">
        <f>IF(OR($E$110=8,$E$110=6,$E$110=4),$I$101-0.01,"-")</f>
        <v>-</v>
      </c>
      <c r="K102" s="7" t="str">
        <f>IF($E$110=8,$T$98,IF($E$110=6,$T$97,IF($E$110=4,$T$96,"-")))</f>
        <v>-</v>
      </c>
      <c r="L102" s="7" t="str">
        <f t="shared" si="28"/>
        <v>-</v>
      </c>
      <c r="M102" s="20" t="e">
        <f t="shared" si="32"/>
        <v>#VALUE!</v>
      </c>
      <c r="N102" s="8" t="str">
        <f>IF(OR($E$110=5,$E$110=7),$P$102-$E$111,"-")</f>
        <v>-</v>
      </c>
      <c r="O102" s="13"/>
      <c r="P102" s="8" t="str">
        <f>IF(OR($E$110=5,$E$110=7),$N$101-0.01,"-")</f>
        <v>-</v>
      </c>
      <c r="Q102" s="7" t="str">
        <f>IF($E$110=7,$T$98,IF($E$110=5,$T$97,"-"))</f>
        <v>-</v>
      </c>
      <c r="R102" s="7">
        <f t="shared" si="29"/>
        <v>0</v>
      </c>
    </row>
    <row r="103" spans="1:20" ht="23" thickBot="1" x14ac:dyDescent="0.4">
      <c r="A103" s="6">
        <v>68</v>
      </c>
      <c r="B103" s="38">
        <v>5546000067</v>
      </c>
      <c r="C103" s="39" t="s">
        <v>129</v>
      </c>
      <c r="D103" s="8">
        <f t="shared" si="27"/>
        <v>94.11</v>
      </c>
      <c r="E103" s="8">
        <f t="shared" si="27"/>
        <v>579.46</v>
      </c>
      <c r="F103" s="7" t="str">
        <f t="shared" si="30"/>
        <v>-</v>
      </c>
      <c r="G103" s="7" t="str">
        <f t="shared" si="31"/>
        <v>A</v>
      </c>
      <c r="I103" s="6" t="str">
        <f>IF(OR($E$110=6,$E$110=8),$J$103-$E$111,"-")</f>
        <v>-</v>
      </c>
      <c r="J103" s="6" t="str">
        <f>IF(OR($E$110=8,$E$110=6),$I$102-0.01,"-")</f>
        <v>-</v>
      </c>
      <c r="K103" s="7" t="str">
        <f>IF($E$110=8,$T$99,IF($E$110=6,$T$98,IF($E$110=4,"-","-")))</f>
        <v>-</v>
      </c>
      <c r="L103" s="7" t="str">
        <f t="shared" si="28"/>
        <v>-</v>
      </c>
      <c r="M103" s="20" t="e">
        <f t="shared" si="32"/>
        <v>#VALUE!</v>
      </c>
      <c r="N103" s="23" t="str">
        <f>IF(OR($E$110=7),$P$103-$E$111,"-")</f>
        <v>-</v>
      </c>
      <c r="O103" s="24"/>
      <c r="P103" s="23" t="str">
        <f>IF(OR($E$110=7),$N$102-0.01,"-")</f>
        <v>-</v>
      </c>
      <c r="Q103" s="22" t="str">
        <f>IF($E$110=7,$T$99,"-")</f>
        <v>-</v>
      </c>
      <c r="R103" s="7">
        <f t="shared" si="29"/>
        <v>0</v>
      </c>
    </row>
    <row r="104" spans="1:20" ht="23" thickBot="1" x14ac:dyDescent="0.4">
      <c r="A104" s="6">
        <v>78</v>
      </c>
      <c r="B104" s="38">
        <v>5546000077</v>
      </c>
      <c r="C104" s="39" t="s">
        <v>130</v>
      </c>
      <c r="D104" s="8">
        <f>ROUND(SUM(E15,H15,K15,N15,Q15,E29,H29,K29,N29,Q29,E44,H44,K44,N44,Q44,E58,H58,K58,N58,Q58,E73,H73,K73,N73,Q73,E88,H88,K88,N88,Q88),2)</f>
        <v>94.37</v>
      </c>
      <c r="E104" s="8">
        <f>ROUND(SUM(F15,I15,L15,O15,R15,F29,I29,L29,O29,R29,F44,I44,L44,O44,R44,F58,I58,L58,O58,R58,F73,I73,L73,O73,R73,F88,I88,L88,O88,R88),2)</f>
        <v>600.4</v>
      </c>
      <c r="F104" s="7" t="str">
        <f t="shared" si="30"/>
        <v>-</v>
      </c>
      <c r="G104" s="7" t="str">
        <f t="shared" si="31"/>
        <v>A</v>
      </c>
      <c r="I104" s="21" t="str">
        <f>IF(OR($E$110=8),$J$104-$E$111,"-")</f>
        <v>-</v>
      </c>
      <c r="J104" s="21" t="str">
        <f>IF($E$110=8,$I$103-0.01,"-")</f>
        <v>-</v>
      </c>
      <c r="K104" s="22" t="str">
        <f>IF($E$110=8,$T$100,IF($E$110=6,"-","-"))</f>
        <v>-</v>
      </c>
      <c r="L104" s="7" t="e">
        <f>IF(#REF!="-","-",COUNTIF($F$97:$F$104,K104))</f>
        <v>#REF!</v>
      </c>
      <c r="M104" s="20" t="e">
        <f t="shared" si="32"/>
        <v>#VALUE!</v>
      </c>
      <c r="N104" s="218" t="s">
        <v>1</v>
      </c>
      <c r="O104" s="219"/>
      <c r="P104" s="219"/>
      <c r="Q104" s="220"/>
      <c r="R104" s="33">
        <f>SUM($R$97:$R$103)</f>
        <v>8</v>
      </c>
    </row>
    <row r="105" spans="1:20" ht="22" thickBot="1" x14ac:dyDescent="0.4">
      <c r="B105" s="18"/>
      <c r="C105" s="10"/>
      <c r="D105" s="19"/>
      <c r="E105" s="19"/>
      <c r="I105" s="218" t="s">
        <v>1</v>
      </c>
      <c r="J105" s="219"/>
      <c r="K105" s="220"/>
      <c r="L105" s="33" t="e">
        <f>SUM($L$97:$L$104)</f>
        <v>#REF!</v>
      </c>
    </row>
    <row r="106" spans="1:20" x14ac:dyDescent="0.35">
      <c r="C106" s="4" t="s">
        <v>13</v>
      </c>
      <c r="D106" s="37">
        <f>ROUND(AVERAGE($D$97:$D$104),2)</f>
        <v>91.49</v>
      </c>
      <c r="E106" s="37">
        <f>ROUND(AVERAGE($E$97:$E$104),2)</f>
        <v>500</v>
      </c>
    </row>
    <row r="107" spans="1:20" x14ac:dyDescent="0.35">
      <c r="C107" s="4" t="s">
        <v>18</v>
      </c>
      <c r="D107" s="37">
        <f>ROUND(MAX($D$97:$D$104),2)</f>
        <v>94.37</v>
      </c>
      <c r="E107" s="37">
        <f>ROUND(MAX($E$97:$E$104),2)</f>
        <v>600.4</v>
      </c>
      <c r="I107" s="45"/>
      <c r="J107" s="45"/>
    </row>
    <row r="108" spans="1:20" x14ac:dyDescent="0.35">
      <c r="C108" s="4" t="s">
        <v>19</v>
      </c>
      <c r="D108" s="37">
        <f>ROUND(MIN($D$97:$D$104),2)</f>
        <v>88.54</v>
      </c>
      <c r="E108" s="37">
        <f>ROUND(MIN($E$97:$E$104),2)</f>
        <v>403.89</v>
      </c>
      <c r="G108" s="1" t="s">
        <v>2</v>
      </c>
      <c r="I108" s="45"/>
      <c r="J108" s="45"/>
      <c r="K108" s="45"/>
      <c r="L108" s="1" t="s">
        <v>2</v>
      </c>
    </row>
    <row r="109" spans="1:20" x14ac:dyDescent="0.35">
      <c r="C109" s="16" t="s">
        <v>20</v>
      </c>
      <c r="D109" s="4"/>
      <c r="E109" s="37">
        <f>ROUND($E$107-$E$108,2)</f>
        <v>196.51</v>
      </c>
      <c r="I109" s="45"/>
      <c r="J109" s="45"/>
      <c r="K109" s="45"/>
    </row>
    <row r="110" spans="1:20" x14ac:dyDescent="0.35">
      <c r="C110" s="16" t="s">
        <v>7</v>
      </c>
      <c r="D110" s="4"/>
      <c r="E110" s="32">
        <v>3</v>
      </c>
      <c r="F110" s="1" t="s">
        <v>40</v>
      </c>
      <c r="I110" s="45"/>
      <c r="J110" s="45"/>
    </row>
    <row r="111" spans="1:20" x14ac:dyDescent="0.35">
      <c r="C111" s="16" t="s">
        <v>9</v>
      </c>
      <c r="D111" s="4"/>
      <c r="E111" s="37">
        <f>ROUND($E$109/$E$110,2)</f>
        <v>65.5</v>
      </c>
      <c r="N111" s="202" t="s">
        <v>42</v>
      </c>
      <c r="O111" s="202"/>
      <c r="P111" s="202"/>
      <c r="Q111" s="202"/>
      <c r="R111" s="202"/>
    </row>
    <row r="112" spans="1:20" x14ac:dyDescent="0.35">
      <c r="C112" s="16" t="s">
        <v>10</v>
      </c>
      <c r="D112" s="4"/>
      <c r="E112" s="32" t="s">
        <v>8</v>
      </c>
      <c r="F112" s="1" t="s">
        <v>41</v>
      </c>
      <c r="N112" s="202" t="s">
        <v>11</v>
      </c>
      <c r="O112" s="202"/>
      <c r="P112" s="202"/>
      <c r="Q112" s="202"/>
      <c r="R112" s="202"/>
    </row>
    <row r="113" spans="14:18" x14ac:dyDescent="0.35">
      <c r="N113" s="221" t="s">
        <v>43</v>
      </c>
      <c r="O113" s="221"/>
      <c r="P113" s="221"/>
      <c r="Q113" s="221"/>
      <c r="R113" s="221"/>
    </row>
  </sheetData>
  <mergeCells count="63">
    <mergeCell ref="A1:R1"/>
    <mergeCell ref="A2:R2"/>
    <mergeCell ref="A3:R3"/>
    <mergeCell ref="D4:R4"/>
    <mergeCell ref="A5:A7"/>
    <mergeCell ref="B5:B7"/>
    <mergeCell ref="C5:C7"/>
    <mergeCell ref="D5:F5"/>
    <mergeCell ref="G5:I5"/>
    <mergeCell ref="J5:L5"/>
    <mergeCell ref="M5:O5"/>
    <mergeCell ref="P5:R5"/>
    <mergeCell ref="D18:R18"/>
    <mergeCell ref="A19:A21"/>
    <mergeCell ref="B19:B21"/>
    <mergeCell ref="C19:C21"/>
    <mergeCell ref="D19:F19"/>
    <mergeCell ref="G19:I19"/>
    <mergeCell ref="J19:L19"/>
    <mergeCell ref="M19:O19"/>
    <mergeCell ref="P19:R19"/>
    <mergeCell ref="D33:F33"/>
    <mergeCell ref="A34:A36"/>
    <mergeCell ref="B34:B36"/>
    <mergeCell ref="C34:C36"/>
    <mergeCell ref="D34:F34"/>
    <mergeCell ref="G34:I34"/>
    <mergeCell ref="J34:L34"/>
    <mergeCell ref="M34:O34"/>
    <mergeCell ref="P34:R34"/>
    <mergeCell ref="M49:O49"/>
    <mergeCell ref="P49:R49"/>
    <mergeCell ref="J64:L64"/>
    <mergeCell ref="M64:O64"/>
    <mergeCell ref="P64:R64"/>
    <mergeCell ref="A49:A51"/>
    <mergeCell ref="B49:B51"/>
    <mergeCell ref="C49:C51"/>
    <mergeCell ref="D49:F49"/>
    <mergeCell ref="G49:I49"/>
    <mergeCell ref="J49:L49"/>
    <mergeCell ref="A64:A66"/>
    <mergeCell ref="B64:B66"/>
    <mergeCell ref="C64:C66"/>
    <mergeCell ref="D64:F64"/>
    <mergeCell ref="G64:I64"/>
    <mergeCell ref="M79:O79"/>
    <mergeCell ref="P79:R79"/>
    <mergeCell ref="A95:A96"/>
    <mergeCell ref="B95:B96"/>
    <mergeCell ref="C95:C96"/>
    <mergeCell ref="D95:G95"/>
    <mergeCell ref="A79:A81"/>
    <mergeCell ref="B79:B81"/>
    <mergeCell ref="C79:C81"/>
    <mergeCell ref="D79:F79"/>
    <mergeCell ref="G79:I79"/>
    <mergeCell ref="J79:L79"/>
    <mergeCell ref="N104:Q104"/>
    <mergeCell ref="I105:K105"/>
    <mergeCell ref="N111:R111"/>
    <mergeCell ref="N112:R112"/>
    <mergeCell ref="N113:R113"/>
  </mergeCells>
  <pageMargins left="0.70866141732283472" right="0.70866141732283472" top="0.31496062992125984" bottom="0.19685039370078741" header="0.31496062992125984" footer="0.19685039370078741"/>
  <pageSetup paperSize="9" scale="79" orientation="landscape" verticalDpi="300" r:id="rId1"/>
  <rowBreaks count="3" manualBreakCount="3">
    <brk id="32" max="16383" man="1"/>
    <brk id="62" max="17" man="1"/>
    <brk id="92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FD74-716D-144D-B063-F80E708DF047}">
  <sheetPr>
    <tabColor theme="9" tint="0.59999389629810485"/>
  </sheetPr>
  <dimension ref="A1:U148"/>
  <sheetViews>
    <sheetView tabSelected="1" view="pageBreakPreview" zoomScale="80" zoomScaleSheetLayoutView="80" workbookViewId="0">
      <selection activeCell="W10" sqref="W10"/>
    </sheetView>
  </sheetViews>
  <sheetFormatPr baseColWidth="10" defaultColWidth="9" defaultRowHeight="21" x14ac:dyDescent="0.35"/>
  <cols>
    <col min="1" max="1" width="4.83203125" style="132" bestFit="1" customWidth="1"/>
    <col min="2" max="2" width="10.6640625" style="132" customWidth="1"/>
    <col min="3" max="3" width="25.1640625" style="132" customWidth="1"/>
    <col min="4" max="4" width="9" style="131" customWidth="1"/>
    <col min="5" max="5" width="6.5" style="131" customWidth="1"/>
    <col min="6" max="6" width="8.83203125" style="131" customWidth="1"/>
    <col min="7" max="7" width="7.6640625" style="131" customWidth="1"/>
    <col min="8" max="8" width="9" style="131" customWidth="1"/>
    <col min="9" max="9" width="10.33203125" style="131" customWidth="1"/>
    <col min="10" max="11" width="6.83203125" style="131" customWidth="1"/>
    <col min="12" max="12" width="9.33203125" style="131" bestFit="1" customWidth="1"/>
    <col min="13" max="13" width="7.1640625" style="131" customWidth="1"/>
    <col min="14" max="14" width="6.83203125" style="131" customWidth="1"/>
    <col min="15" max="15" width="8.1640625" style="131" customWidth="1"/>
    <col min="16" max="16" width="7.1640625" style="131" customWidth="1"/>
    <col min="17" max="18" width="7.6640625" style="131" customWidth="1"/>
    <col min="19" max="19" width="6.6640625" style="131" customWidth="1"/>
    <col min="20" max="16384" width="9" style="13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</row>
    <row r="5" spans="1:21" x14ac:dyDescent="0.35">
      <c r="A5" s="222" t="s">
        <v>76</v>
      </c>
      <c r="B5" s="222" t="s">
        <v>12</v>
      </c>
      <c r="C5" s="222" t="s">
        <v>0</v>
      </c>
      <c r="D5" s="236" t="s">
        <v>196</v>
      </c>
      <c r="E5" s="236"/>
      <c r="F5" s="236"/>
      <c r="G5" s="236" t="s">
        <v>195</v>
      </c>
      <c r="H5" s="236"/>
      <c r="I5" s="236"/>
      <c r="J5" s="236" t="s">
        <v>197</v>
      </c>
      <c r="K5" s="236"/>
      <c r="L5" s="236"/>
      <c r="M5" s="236" t="s">
        <v>198</v>
      </c>
      <c r="N5" s="236"/>
      <c r="O5" s="236"/>
      <c r="P5" s="236" t="s">
        <v>213</v>
      </c>
      <c r="Q5" s="236"/>
      <c r="R5" s="236"/>
      <c r="S5" s="236" t="s">
        <v>214</v>
      </c>
      <c r="T5" s="236"/>
      <c r="U5" s="236"/>
    </row>
    <row r="6" spans="1:21" x14ac:dyDescent="0.35">
      <c r="A6" s="222"/>
      <c r="B6" s="222"/>
      <c r="C6" s="222"/>
      <c r="D6" s="139" t="s">
        <v>17</v>
      </c>
      <c r="E6" s="139" t="s">
        <v>6</v>
      </c>
      <c r="F6" s="139" t="s">
        <v>3</v>
      </c>
      <c r="G6" s="139" t="s">
        <v>17</v>
      </c>
      <c r="H6" s="139" t="s">
        <v>6</v>
      </c>
      <c r="I6" s="139" t="s">
        <v>3</v>
      </c>
      <c r="J6" s="139" t="s">
        <v>17</v>
      </c>
      <c r="K6" s="139" t="s">
        <v>6</v>
      </c>
      <c r="L6" s="139" t="s">
        <v>3</v>
      </c>
      <c r="M6" s="139" t="s">
        <v>17</v>
      </c>
      <c r="N6" s="139" t="s">
        <v>6</v>
      </c>
      <c r="O6" s="139" t="s">
        <v>3</v>
      </c>
      <c r="P6" s="139" t="s">
        <v>17</v>
      </c>
      <c r="Q6" s="139" t="s">
        <v>6</v>
      </c>
      <c r="R6" s="139" t="s">
        <v>3</v>
      </c>
      <c r="S6" s="139" t="s">
        <v>17</v>
      </c>
      <c r="T6" s="139" t="s">
        <v>6</v>
      </c>
      <c r="U6" s="139" t="s">
        <v>3</v>
      </c>
    </row>
    <row r="7" spans="1:21" x14ac:dyDescent="0.35">
      <c r="A7" s="222"/>
      <c r="B7" s="222"/>
      <c r="C7" s="222"/>
      <c r="D7" s="193">
        <v>175</v>
      </c>
      <c r="E7" s="193">
        <v>60</v>
      </c>
      <c r="F7" s="181">
        <f>$E$7/10</f>
        <v>6</v>
      </c>
      <c r="G7" s="193">
        <v>75</v>
      </c>
      <c r="H7" s="193">
        <v>10</v>
      </c>
      <c r="I7" s="181">
        <f>$H$7/10</f>
        <v>1</v>
      </c>
      <c r="J7" s="193">
        <v>50</v>
      </c>
      <c r="K7" s="193">
        <v>10</v>
      </c>
      <c r="L7" s="194">
        <f>$K$7/10</f>
        <v>1</v>
      </c>
      <c r="M7" s="193">
        <v>30</v>
      </c>
      <c r="N7" s="193">
        <v>5</v>
      </c>
      <c r="O7" s="181">
        <f>$N$7/10</f>
        <v>0.5</v>
      </c>
      <c r="P7" s="193">
        <v>90</v>
      </c>
      <c r="Q7" s="193">
        <v>10</v>
      </c>
      <c r="R7" s="181">
        <f>$Q$7/10</f>
        <v>1</v>
      </c>
      <c r="S7" s="193">
        <v>20</v>
      </c>
      <c r="T7" s="193">
        <v>5</v>
      </c>
      <c r="U7" s="181">
        <f>$Q$7/10</f>
        <v>1</v>
      </c>
    </row>
    <row r="8" spans="1:21" ht="27" x14ac:dyDescent="0.45">
      <c r="A8" s="192">
        <v>1</v>
      </c>
      <c r="B8" s="275">
        <v>651201101</v>
      </c>
      <c r="C8" s="275" t="s">
        <v>217</v>
      </c>
      <c r="D8" s="195">
        <v>154</v>
      </c>
      <c r="E8" s="157">
        <f t="shared" ref="E8:E17" si="0">IF(D8="-","-",IF(D8=0,0,(D8*$E$7)/$D$7))</f>
        <v>52.8</v>
      </c>
      <c r="F8" s="134">
        <f t="shared" ref="F8:F17" si="1">IF(D8="-","-",IF(D8=0,0,IF($D$19=0,50,(50+(10*(STANDARDIZE(D8,$D$18,$D$19)))))*$F$7))</f>
        <v>291.14689067471329</v>
      </c>
      <c r="G8" s="69">
        <v>62</v>
      </c>
      <c r="H8" s="157">
        <f t="shared" ref="H8:H17" si="2">IF(G8="-","-",IF(G8=0,0,(G8*$H$7)/$G$7))</f>
        <v>8.2666666666666675</v>
      </c>
      <c r="I8" s="134">
        <f t="shared" ref="I8:I17" si="3">IF(G8="-","-",IF(G8=0,0,IF($G$19=0,50,(50+(10*(STANDARDIZE(G8,$G$18,$G$19)))))*$I$7))</f>
        <v>47.85401231180262</v>
      </c>
      <c r="J8" s="69">
        <v>42</v>
      </c>
      <c r="K8" s="157">
        <f t="shared" ref="K8:K17" si="4">IF(J8="-","-",IF(J8=0,0,(J8*$K$7)/$J$7))</f>
        <v>8.4</v>
      </c>
      <c r="L8" s="134">
        <f t="shared" ref="L8:L17" si="5">IF(J8="-","-",IF(J8=0,0,IF(J19=0,50,(50+(10*(STANDARDIZE(J8,$J$18,$J$19)))))*$L$7))</f>
        <v>46.181186920870132</v>
      </c>
      <c r="M8" s="69">
        <v>24</v>
      </c>
      <c r="N8" s="157">
        <f t="shared" ref="N8:N17" si="6">IF(M8="-","-",IF(M8=0,0,(M8*$N$7)/$M$7))</f>
        <v>4</v>
      </c>
      <c r="O8" s="134">
        <f t="shared" ref="O8:O17" si="7">IF(M8="-","-",IF(M8=0,0,IF($M$19=0,50,(50+(10*(STANDARDIZE(M8,$M$18,$M$19)))))*$O$7))</f>
        <v>21.377155813452639</v>
      </c>
      <c r="P8" s="69">
        <v>72</v>
      </c>
      <c r="Q8" s="157">
        <f t="shared" ref="Q8:Q17" si="8">IF(P8="-","-",IF(P8=0,0,(P8*$Q$7)/$P$7))</f>
        <v>8</v>
      </c>
      <c r="R8" s="134">
        <f t="shared" ref="R8:R17" si="9">IF(P8="-","-",IF(P8=0,0,IF($P$19=0,50,(50+(10*(STANDARDIZE(P8,$P$18,$P$19)))))*$R$7))</f>
        <v>46.181186920870132</v>
      </c>
      <c r="S8">
        <v>14</v>
      </c>
      <c r="T8" s="157">
        <f t="shared" ref="T8:T17" si="10">IF(S8="-","-",IF(S8=0,0,(S8*$T$7)/$S$7))</f>
        <v>3.5</v>
      </c>
      <c r="U8" s="134">
        <f t="shared" ref="U8:U17" si="11">IF(S8="-","-",IF(S8=0,0,IF($S$19=0,50,(50+(10*(STANDARDIZE(S8,$S$18,$S$19)))))*$U$7))</f>
        <v>38.648187970035956</v>
      </c>
    </row>
    <row r="9" spans="1:21" ht="27" x14ac:dyDescent="0.45">
      <c r="A9" s="192">
        <v>2</v>
      </c>
      <c r="B9" s="275">
        <v>651201102</v>
      </c>
      <c r="C9" s="275" t="s">
        <v>218</v>
      </c>
      <c r="D9" s="195">
        <v>140</v>
      </c>
      <c r="E9" s="157">
        <f t="shared" si="0"/>
        <v>48</v>
      </c>
      <c r="F9" s="134">
        <f t="shared" si="1"/>
        <v>201.00614118088521</v>
      </c>
      <c r="G9" s="69">
        <v>56</v>
      </c>
      <c r="H9" s="157">
        <f t="shared" si="2"/>
        <v>7.4666666666666668</v>
      </c>
      <c r="I9" s="134">
        <f t="shared" si="3"/>
        <v>34.978086182618341</v>
      </c>
      <c r="J9" s="69">
        <v>40</v>
      </c>
      <c r="K9" s="157">
        <f t="shared" si="4"/>
        <v>8</v>
      </c>
      <c r="L9" s="134">
        <f t="shared" si="5"/>
        <v>50</v>
      </c>
      <c r="M9" s="69">
        <v>24</v>
      </c>
      <c r="N9" s="157">
        <f t="shared" si="6"/>
        <v>4</v>
      </c>
      <c r="O9" s="134">
        <f t="shared" si="7"/>
        <v>21.377155813452639</v>
      </c>
      <c r="P9" s="69">
        <v>68</v>
      </c>
      <c r="Q9" s="157">
        <f t="shared" si="8"/>
        <v>7.5555555555555554</v>
      </c>
      <c r="R9" s="134">
        <f t="shared" si="9"/>
        <v>38.543560762610397</v>
      </c>
      <c r="S9">
        <v>17</v>
      </c>
      <c r="T9" s="157">
        <f t="shared" si="10"/>
        <v>4.25</v>
      </c>
      <c r="U9" s="134">
        <f t="shared" si="11"/>
        <v>53.783937343321348</v>
      </c>
    </row>
    <row r="10" spans="1:21" ht="27" x14ac:dyDescent="0.45">
      <c r="A10" s="192">
        <v>3</v>
      </c>
      <c r="B10" s="275">
        <v>651201103</v>
      </c>
      <c r="C10" s="275" t="s">
        <v>219</v>
      </c>
      <c r="D10" s="195">
        <v>165</v>
      </c>
      <c r="E10" s="157">
        <f t="shared" si="0"/>
        <v>56.571428571428569</v>
      </c>
      <c r="F10" s="134">
        <f t="shared" si="1"/>
        <v>361.9717652770068</v>
      </c>
      <c r="G10" s="69">
        <v>68</v>
      </c>
      <c r="H10" s="157">
        <f t="shared" si="2"/>
        <v>9.0666666666666664</v>
      </c>
      <c r="I10" s="134">
        <f t="shared" si="3"/>
        <v>60.729938440986899</v>
      </c>
      <c r="J10" s="69">
        <v>46</v>
      </c>
      <c r="K10" s="157">
        <f t="shared" si="4"/>
        <v>9.1999999999999993</v>
      </c>
      <c r="L10" s="134">
        <f t="shared" si="5"/>
        <v>61.456439237389603</v>
      </c>
      <c r="M10" s="69">
        <v>26</v>
      </c>
      <c r="N10" s="157">
        <f t="shared" si="6"/>
        <v>4.333333333333333</v>
      </c>
      <c r="O10" s="134">
        <f t="shared" si="7"/>
        <v>31.0380736442456</v>
      </c>
      <c r="P10" s="69">
        <v>80</v>
      </c>
      <c r="Q10" s="157">
        <f t="shared" si="8"/>
        <v>8.8888888888888893</v>
      </c>
      <c r="R10" s="134">
        <f t="shared" si="9"/>
        <v>61.456439237389603</v>
      </c>
      <c r="S10">
        <v>16</v>
      </c>
      <c r="T10" s="157">
        <f t="shared" si="10"/>
        <v>4</v>
      </c>
      <c r="U10" s="134">
        <f t="shared" si="11"/>
        <v>48.738687552226217</v>
      </c>
    </row>
    <row r="11" spans="1:21" ht="27" x14ac:dyDescent="0.45">
      <c r="A11" s="192">
        <v>4</v>
      </c>
      <c r="B11" s="275">
        <v>651201104</v>
      </c>
      <c r="C11" s="275" t="s">
        <v>220</v>
      </c>
      <c r="D11" s="195">
        <v>165</v>
      </c>
      <c r="E11" s="157">
        <f t="shared" si="0"/>
        <v>56.571428571428569</v>
      </c>
      <c r="F11" s="134">
        <f t="shared" si="1"/>
        <v>361.9717652770068</v>
      </c>
      <c r="G11" s="69">
        <v>68</v>
      </c>
      <c r="H11" s="157">
        <f t="shared" si="2"/>
        <v>9.0666666666666664</v>
      </c>
      <c r="I11" s="134">
        <f t="shared" si="3"/>
        <v>60.729938440986899</v>
      </c>
      <c r="J11" s="69">
        <v>46</v>
      </c>
      <c r="K11" s="157">
        <f t="shared" si="4"/>
        <v>9.1999999999999993</v>
      </c>
      <c r="L11" s="134">
        <f t="shared" si="5"/>
        <v>61.456439237389603</v>
      </c>
      <c r="M11" s="69">
        <v>26</v>
      </c>
      <c r="N11" s="157">
        <f t="shared" si="6"/>
        <v>4.333333333333333</v>
      </c>
      <c r="O11" s="134">
        <f t="shared" si="7"/>
        <v>31.0380736442456</v>
      </c>
      <c r="P11" s="69">
        <v>80</v>
      </c>
      <c r="Q11" s="157">
        <f t="shared" si="8"/>
        <v>8.8888888888888893</v>
      </c>
      <c r="R11" s="134">
        <f t="shared" si="9"/>
        <v>61.456439237389603</v>
      </c>
      <c r="S11">
        <v>18</v>
      </c>
      <c r="T11" s="157">
        <f t="shared" si="10"/>
        <v>4.5</v>
      </c>
      <c r="U11" s="134">
        <f t="shared" si="11"/>
        <v>58.829187134416479</v>
      </c>
    </row>
    <row r="12" spans="1:21" ht="27" x14ac:dyDescent="0.45">
      <c r="A12" s="192">
        <v>5</v>
      </c>
      <c r="B12" s="275">
        <v>651201105</v>
      </c>
      <c r="C12" s="275" t="s">
        <v>221</v>
      </c>
      <c r="D12" s="195">
        <v>146</v>
      </c>
      <c r="E12" s="157">
        <f t="shared" si="0"/>
        <v>50.057142857142857</v>
      </c>
      <c r="F12" s="134">
        <f t="shared" si="1"/>
        <v>239.63789096395442</v>
      </c>
      <c r="G12" s="69">
        <v>58</v>
      </c>
      <c r="H12" s="157">
        <f t="shared" si="2"/>
        <v>7.7333333333333334</v>
      </c>
      <c r="I12" s="134">
        <f t="shared" si="3"/>
        <v>39.270061559013101</v>
      </c>
      <c r="J12" s="69">
        <v>40</v>
      </c>
      <c r="K12" s="157">
        <f t="shared" si="4"/>
        <v>8</v>
      </c>
      <c r="L12" s="134">
        <f t="shared" si="5"/>
        <v>50</v>
      </c>
      <c r="M12" s="69">
        <v>24</v>
      </c>
      <c r="N12" s="157">
        <f t="shared" si="6"/>
        <v>4</v>
      </c>
      <c r="O12" s="134">
        <f t="shared" si="7"/>
        <v>21.377155813452639</v>
      </c>
      <c r="P12" s="69">
        <v>68</v>
      </c>
      <c r="Q12" s="157">
        <f t="shared" si="8"/>
        <v>7.5555555555555554</v>
      </c>
      <c r="R12" s="134">
        <f t="shared" si="9"/>
        <v>38.543560762610397</v>
      </c>
      <c r="S12">
        <v>16</v>
      </c>
      <c r="T12" s="157">
        <f t="shared" si="10"/>
        <v>4</v>
      </c>
      <c r="U12" s="134">
        <f t="shared" si="11"/>
        <v>48.738687552226217</v>
      </c>
    </row>
    <row r="13" spans="1:21" ht="27" x14ac:dyDescent="0.45">
      <c r="A13" s="192">
        <v>6</v>
      </c>
      <c r="B13" s="275">
        <v>651201106</v>
      </c>
      <c r="C13" s="275" t="s">
        <v>222</v>
      </c>
      <c r="D13" s="195">
        <v>154</v>
      </c>
      <c r="E13" s="157">
        <f t="shared" si="0"/>
        <v>52.8</v>
      </c>
      <c r="F13" s="134">
        <f t="shared" si="1"/>
        <v>291.14689067471329</v>
      </c>
      <c r="G13" s="69">
        <v>62</v>
      </c>
      <c r="H13" s="157">
        <f t="shared" si="2"/>
        <v>8.2666666666666675</v>
      </c>
      <c r="I13" s="134">
        <f t="shared" si="3"/>
        <v>47.85401231180262</v>
      </c>
      <c r="J13" s="69">
        <v>42</v>
      </c>
      <c r="K13" s="157">
        <f t="shared" si="4"/>
        <v>8.4</v>
      </c>
      <c r="L13" s="134">
        <f t="shared" si="5"/>
        <v>50</v>
      </c>
      <c r="M13" s="69">
        <v>24</v>
      </c>
      <c r="N13" s="157">
        <f t="shared" si="6"/>
        <v>4</v>
      </c>
      <c r="O13" s="134">
        <f t="shared" si="7"/>
        <v>21.377155813452639</v>
      </c>
      <c r="P13" s="69">
        <v>72</v>
      </c>
      <c r="Q13" s="157">
        <f t="shared" si="8"/>
        <v>8</v>
      </c>
      <c r="R13" s="134">
        <f t="shared" si="9"/>
        <v>46.181186920870132</v>
      </c>
      <c r="S13">
        <v>19</v>
      </c>
      <c r="T13" s="157">
        <f t="shared" si="10"/>
        <v>4.75</v>
      </c>
      <c r="U13" s="134">
        <f t="shared" si="11"/>
        <v>63.87443692551161</v>
      </c>
    </row>
    <row r="14" spans="1:21" ht="27" x14ac:dyDescent="0.45">
      <c r="A14" s="192">
        <v>7</v>
      </c>
      <c r="B14" s="275">
        <v>651201107</v>
      </c>
      <c r="C14" s="275" t="s">
        <v>223</v>
      </c>
      <c r="D14" s="195">
        <v>165</v>
      </c>
      <c r="E14" s="157">
        <f t="shared" si="0"/>
        <v>56.571428571428569</v>
      </c>
      <c r="F14" s="134">
        <f t="shared" si="1"/>
        <v>361.9717652770068</v>
      </c>
      <c r="G14" s="69">
        <v>68</v>
      </c>
      <c r="H14" s="157">
        <f t="shared" si="2"/>
        <v>9.0666666666666664</v>
      </c>
      <c r="I14" s="134">
        <f t="shared" si="3"/>
        <v>60.729938440986899</v>
      </c>
      <c r="J14" s="69">
        <v>46</v>
      </c>
      <c r="K14" s="157">
        <f t="shared" si="4"/>
        <v>9.1999999999999993</v>
      </c>
      <c r="L14" s="134">
        <f t="shared" si="5"/>
        <v>50</v>
      </c>
      <c r="M14" s="69">
        <v>26</v>
      </c>
      <c r="N14" s="157">
        <f t="shared" si="6"/>
        <v>4.333333333333333</v>
      </c>
      <c r="O14" s="134">
        <f t="shared" si="7"/>
        <v>31.0380736442456</v>
      </c>
      <c r="P14" s="69">
        <v>80</v>
      </c>
      <c r="Q14" s="157">
        <f t="shared" si="8"/>
        <v>8.8888888888888893</v>
      </c>
      <c r="R14" s="134">
        <f t="shared" si="9"/>
        <v>61.456439237389603</v>
      </c>
      <c r="S14">
        <v>17</v>
      </c>
      <c r="T14" s="157">
        <f t="shared" si="10"/>
        <v>4.25</v>
      </c>
      <c r="U14" s="134">
        <f t="shared" si="11"/>
        <v>53.783937343321348</v>
      </c>
    </row>
    <row r="15" spans="1:21" ht="27" x14ac:dyDescent="0.45">
      <c r="A15" s="192">
        <v>8</v>
      </c>
      <c r="B15" s="275">
        <v>651201108</v>
      </c>
      <c r="C15" s="275" t="s">
        <v>224</v>
      </c>
      <c r="D15" s="195">
        <v>154</v>
      </c>
      <c r="E15" s="157">
        <f t="shared" si="0"/>
        <v>52.8</v>
      </c>
      <c r="F15" s="134">
        <f t="shared" si="1"/>
        <v>291.14689067471329</v>
      </c>
      <c r="G15" s="69">
        <v>62</v>
      </c>
      <c r="H15" s="157">
        <f t="shared" si="2"/>
        <v>8.2666666666666675</v>
      </c>
      <c r="I15" s="134">
        <f t="shared" si="3"/>
        <v>47.85401231180262</v>
      </c>
      <c r="J15" s="69">
        <v>42</v>
      </c>
      <c r="K15" s="157">
        <f t="shared" si="4"/>
        <v>8.4</v>
      </c>
      <c r="L15" s="134">
        <f t="shared" si="5"/>
        <v>50</v>
      </c>
      <c r="M15" s="69">
        <v>24</v>
      </c>
      <c r="N15" s="157">
        <f t="shared" si="6"/>
        <v>4</v>
      </c>
      <c r="O15" s="134">
        <f t="shared" si="7"/>
        <v>21.377155813452639</v>
      </c>
      <c r="P15" s="69">
        <v>72</v>
      </c>
      <c r="Q15" s="157">
        <f t="shared" si="8"/>
        <v>8</v>
      </c>
      <c r="R15" s="134">
        <f t="shared" si="9"/>
        <v>46.181186920870132</v>
      </c>
      <c r="S15">
        <v>13</v>
      </c>
      <c r="T15" s="157">
        <f t="shared" si="10"/>
        <v>3.25</v>
      </c>
      <c r="U15" s="134">
        <f t="shared" si="11"/>
        <v>33.602938178940825</v>
      </c>
    </row>
    <row r="16" spans="1:21" x14ac:dyDescent="0.35">
      <c r="A16" s="192">
        <v>9</v>
      </c>
      <c r="B16" s="191"/>
      <c r="C16" s="190"/>
      <c r="D16" s="189"/>
      <c r="E16" s="157">
        <f t="shared" si="0"/>
        <v>0</v>
      </c>
      <c r="F16" s="134">
        <f t="shared" si="1"/>
        <v>0</v>
      </c>
      <c r="G16" s="189"/>
      <c r="H16" s="157">
        <f t="shared" si="2"/>
        <v>0</v>
      </c>
      <c r="I16" s="134">
        <f t="shared" si="3"/>
        <v>0</v>
      </c>
      <c r="J16" s="189"/>
      <c r="K16" s="157">
        <f t="shared" si="4"/>
        <v>0</v>
      </c>
      <c r="L16" s="134">
        <f t="shared" si="5"/>
        <v>0</v>
      </c>
      <c r="M16" s="189"/>
      <c r="N16" s="157">
        <f t="shared" si="6"/>
        <v>0</v>
      </c>
      <c r="O16" s="134">
        <f t="shared" si="7"/>
        <v>0</v>
      </c>
      <c r="P16" s="189"/>
      <c r="Q16" s="157">
        <f t="shared" si="8"/>
        <v>0</v>
      </c>
      <c r="R16" s="134">
        <f t="shared" si="9"/>
        <v>0</v>
      </c>
      <c r="S16" s="189"/>
      <c r="T16" s="157">
        <f t="shared" si="10"/>
        <v>0</v>
      </c>
      <c r="U16" s="134">
        <f t="shared" si="11"/>
        <v>0</v>
      </c>
    </row>
    <row r="17" spans="1:21" x14ac:dyDescent="0.35">
      <c r="A17" s="192">
        <v>10</v>
      </c>
      <c r="B17" s="191"/>
      <c r="C17" s="190"/>
      <c r="D17" s="189"/>
      <c r="E17" s="157">
        <f t="shared" si="0"/>
        <v>0</v>
      </c>
      <c r="F17" s="134">
        <f t="shared" si="1"/>
        <v>0</v>
      </c>
      <c r="G17" s="189"/>
      <c r="H17" s="157">
        <f t="shared" si="2"/>
        <v>0</v>
      </c>
      <c r="I17" s="134">
        <f t="shared" si="3"/>
        <v>0</v>
      </c>
      <c r="J17" s="189"/>
      <c r="K17" s="157">
        <f t="shared" si="4"/>
        <v>0</v>
      </c>
      <c r="L17" s="134">
        <f t="shared" si="5"/>
        <v>0</v>
      </c>
      <c r="M17" s="189"/>
      <c r="N17" s="157">
        <f t="shared" si="6"/>
        <v>0</v>
      </c>
      <c r="O17" s="134">
        <f t="shared" si="7"/>
        <v>0</v>
      </c>
      <c r="P17" s="189"/>
      <c r="Q17" s="157">
        <f t="shared" si="8"/>
        <v>0</v>
      </c>
      <c r="R17" s="134">
        <f t="shared" si="9"/>
        <v>0</v>
      </c>
      <c r="S17" s="189"/>
      <c r="T17" s="157">
        <f t="shared" si="10"/>
        <v>0</v>
      </c>
      <c r="U17" s="134">
        <f t="shared" si="11"/>
        <v>0</v>
      </c>
    </row>
    <row r="18" spans="1:21" ht="18" customHeight="1" x14ac:dyDescent="0.35">
      <c r="C18" s="141" t="s">
        <v>13</v>
      </c>
      <c r="D18" s="145">
        <f>AVERAGE($D$8:$D$17)</f>
        <v>155.375</v>
      </c>
      <c r="E18" s="132"/>
      <c r="F18" s="132"/>
      <c r="G18" s="145">
        <f>AVERAGE($G$8:$G$17)</f>
        <v>63</v>
      </c>
      <c r="J18" s="145">
        <f>AVERAGE($J$8:$J$17)</f>
        <v>43</v>
      </c>
      <c r="M18" s="145">
        <f>AVERAGE($M$8:$M$17)</f>
        <v>24.75</v>
      </c>
      <c r="P18" s="145">
        <f>AVERAGE($P$8:$P$17)</f>
        <v>74</v>
      </c>
      <c r="S18" s="145">
        <f>AVERAGE($S$8:$S$17)</f>
        <v>16.25</v>
      </c>
    </row>
    <row r="19" spans="1:21" ht="18" customHeight="1" x14ac:dyDescent="0.35">
      <c r="C19" s="141" t="s">
        <v>14</v>
      </c>
      <c r="D19" s="145">
        <f>STDEV($D$8:$D$17)</f>
        <v>9.31875988070761</v>
      </c>
      <c r="E19" s="132"/>
      <c r="F19" s="132"/>
      <c r="G19" s="145">
        <f>STDEV($G$8:$G$17)</f>
        <v>4.6598589800857404</v>
      </c>
      <c r="J19" s="145">
        <f>STDEV($J$8:$J$17)</f>
        <v>2.6186146828319083</v>
      </c>
      <c r="M19" s="145">
        <f>STDEV($M$8:$M$17)</f>
        <v>1.0350983390135313</v>
      </c>
      <c r="P19" s="145">
        <f>STDEV($P$8:$P$17)</f>
        <v>5.2372293656638167</v>
      </c>
      <c r="S19" s="145">
        <f>STDEV(S8:S17)</f>
        <v>1.9820624179302297</v>
      </c>
    </row>
    <row r="20" spans="1:21" ht="18" customHeight="1" x14ac:dyDescent="0.35">
      <c r="C20" s="141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</row>
    <row r="21" spans="1:21" ht="18" customHeight="1" x14ac:dyDescent="0.35">
      <c r="A21" s="222"/>
      <c r="B21" s="222" t="s">
        <v>12</v>
      </c>
      <c r="C21" s="222" t="s">
        <v>0</v>
      </c>
      <c r="D21" s="238" t="s">
        <v>199</v>
      </c>
      <c r="E21" s="238"/>
      <c r="F21" s="238"/>
      <c r="G21" s="238" t="s">
        <v>200</v>
      </c>
      <c r="H21" s="238"/>
      <c r="I21" s="238"/>
      <c r="J21" s="236" t="s">
        <v>201</v>
      </c>
      <c r="K21" s="236"/>
      <c r="L21" s="236"/>
      <c r="M21" s="238"/>
      <c r="N21" s="238"/>
      <c r="O21" s="238"/>
      <c r="P21" s="238"/>
      <c r="Q21" s="238"/>
      <c r="R21" s="238"/>
      <c r="S21" s="238"/>
      <c r="T21" s="238"/>
      <c r="U21" s="238"/>
    </row>
    <row r="22" spans="1:21" x14ac:dyDescent="0.35">
      <c r="A22" s="222"/>
      <c r="B22" s="222"/>
      <c r="C22" s="222"/>
      <c r="D22" s="139" t="s">
        <v>17</v>
      </c>
      <c r="E22" s="139" t="s">
        <v>6</v>
      </c>
      <c r="F22" s="139" t="s">
        <v>3</v>
      </c>
      <c r="G22" s="139" t="s">
        <v>17</v>
      </c>
      <c r="H22" s="139" t="s">
        <v>6</v>
      </c>
      <c r="I22" s="139" t="s">
        <v>3</v>
      </c>
      <c r="J22" s="139" t="s">
        <v>17</v>
      </c>
      <c r="K22" s="139" t="s">
        <v>6</v>
      </c>
      <c r="L22" s="139" t="s">
        <v>3</v>
      </c>
      <c r="M22" s="139" t="s">
        <v>17</v>
      </c>
      <c r="N22" s="139" t="s">
        <v>6</v>
      </c>
      <c r="O22" s="139" t="s">
        <v>3</v>
      </c>
      <c r="P22" s="139" t="s">
        <v>17</v>
      </c>
      <c r="Q22" s="139" t="s">
        <v>6</v>
      </c>
      <c r="R22" s="139" t="s">
        <v>3</v>
      </c>
      <c r="S22" s="139" t="s">
        <v>17</v>
      </c>
      <c r="T22" s="139" t="s">
        <v>6</v>
      </c>
      <c r="U22" s="139" t="s">
        <v>3</v>
      </c>
    </row>
    <row r="23" spans="1:21" x14ac:dyDescent="0.35">
      <c r="A23" s="222"/>
      <c r="B23" s="222"/>
      <c r="C23" s="222"/>
      <c r="D23" s="183"/>
      <c r="E23" s="183"/>
      <c r="F23" s="181">
        <f>$E$23/10</f>
        <v>0</v>
      </c>
      <c r="G23" s="183"/>
      <c r="H23" s="183"/>
      <c r="I23" s="181">
        <f>$H$23/10</f>
        <v>0</v>
      </c>
      <c r="J23" s="183"/>
      <c r="K23" s="183"/>
      <c r="L23" s="181">
        <f>$K$23/10</f>
        <v>0</v>
      </c>
      <c r="M23" s="183"/>
      <c r="N23" s="183"/>
      <c r="O23" s="188">
        <f>$N$23/10</f>
        <v>0</v>
      </c>
      <c r="P23" s="183"/>
      <c r="Q23" s="183"/>
      <c r="R23" s="187">
        <f>$Q$23/10</f>
        <v>0</v>
      </c>
      <c r="S23" s="183"/>
      <c r="T23" s="183"/>
      <c r="U23" s="187">
        <f>$T$23/10</f>
        <v>0</v>
      </c>
    </row>
    <row r="24" spans="1:21" ht="22" x14ac:dyDescent="0.35">
      <c r="A24" s="136">
        <v>1</v>
      </c>
      <c r="B24" s="180">
        <f t="shared" ref="B24:C33" si="12">B8</f>
        <v>651201101</v>
      </c>
      <c r="C24" s="179" t="str">
        <f t="shared" si="12"/>
        <v>นางสาวกนกทิพย์ สีกวาง</v>
      </c>
      <c r="D24" s="178"/>
      <c r="E24" s="157">
        <f t="shared" ref="E24:E33" si="13">IF(D24="-","-",IF(D24=0,0,(D24*$E$23)/$D$23))</f>
        <v>0</v>
      </c>
      <c r="F24" s="134">
        <f t="shared" ref="F24:F33" si="14">IF(D24="-","-",IF(D24=0,0,IF($D$35=0,50,(50+(10*(STANDARDIZE(D24,$D$34,$D$35)))))*$F$23))</f>
        <v>0</v>
      </c>
      <c r="G24" s="178"/>
      <c r="H24" s="157">
        <f t="shared" ref="H24:H33" si="15">IF(G24="-","-",IF(G24=0,0,(G24*$H$23)/$G$23))</f>
        <v>0</v>
      </c>
      <c r="I24" s="134">
        <f t="shared" ref="I24:I33" si="16">IF(G24="-","-",IF(G24=0,0,IF($G$35=0,50,(50+(10*(STANDARDIZE(G24,$G$34,$G$35)))))*$I$23))</f>
        <v>0</v>
      </c>
      <c r="J24" s="178"/>
      <c r="K24" s="157">
        <f t="shared" ref="K24:K33" si="17">IF(J24="-","-",IF(J24=0,0,(J24*$K$23)/$J$23))</f>
        <v>0</v>
      </c>
      <c r="L24" s="134">
        <f t="shared" ref="L24:L33" si="18">IF(J24="-","-",IF(J24=0,0,IF($J$35=0,50,(50+(10*(STANDARDIZE(J24,$J$34,$J$35)))))*$L$23))</f>
        <v>0</v>
      </c>
      <c r="M24" s="178"/>
      <c r="N24" s="157">
        <f t="shared" ref="N24:N33" si="19">IF(M24="-","-",IF(M24=0,0,(M24*$N$23)/$M$23))</f>
        <v>0</v>
      </c>
      <c r="O24" s="134">
        <f t="shared" ref="O24:O33" si="20">IF(M24="-","-",IF(M24=0,0,IF($M$35=0,50,(50+(10*(STANDARDIZE(M24,$M$34,$M$35)))))*$O$23))</f>
        <v>0</v>
      </c>
      <c r="P24" s="178"/>
      <c r="Q24" s="157">
        <f t="shared" ref="Q24:Q33" si="21">IF(P24="-","-",IF(P24=0,0,(P24*$Q$23)/$P$23))</f>
        <v>0</v>
      </c>
      <c r="R24" s="134">
        <f t="shared" ref="R24:R33" si="22">IF(P24="-","-",IF(P24=0,0,IF($P$35=0,50,(50+(10*(STANDARDIZE(P24,$P$34,$P$35)))))*$R$23))</f>
        <v>0</v>
      </c>
      <c r="S24" s="178"/>
      <c r="T24" s="157">
        <f t="shared" ref="T24:T33" si="23">IF(S24="-","-",IF(S24=0,0,(S24*$T$23)/$S$23))</f>
        <v>0</v>
      </c>
      <c r="U24" s="134">
        <f t="shared" ref="U24:U33" si="24">IF(S24="-","-",IF(S24=0,0,IF($S$35=0,50,(50+(10*(STANDARDIZE(S24,$S$34,$S$35)))))*$U$23))</f>
        <v>0</v>
      </c>
    </row>
    <row r="25" spans="1:21" ht="22" x14ac:dyDescent="0.35">
      <c r="A25" s="136">
        <v>2</v>
      </c>
      <c r="B25" s="180">
        <f t="shared" si="12"/>
        <v>651201102</v>
      </c>
      <c r="C25" s="179" t="str">
        <f t="shared" si="12"/>
        <v>นายกมลภพ หนูพันธ์</v>
      </c>
      <c r="D25" s="178"/>
      <c r="E25" s="157">
        <f t="shared" si="13"/>
        <v>0</v>
      </c>
      <c r="F25" s="134">
        <f t="shared" si="14"/>
        <v>0</v>
      </c>
      <c r="G25" s="178"/>
      <c r="H25" s="157">
        <f t="shared" si="15"/>
        <v>0</v>
      </c>
      <c r="I25" s="134">
        <f t="shared" si="16"/>
        <v>0</v>
      </c>
      <c r="J25" s="178"/>
      <c r="K25" s="157">
        <f t="shared" si="17"/>
        <v>0</v>
      </c>
      <c r="L25" s="134">
        <f t="shared" si="18"/>
        <v>0</v>
      </c>
      <c r="M25" s="178"/>
      <c r="N25" s="157">
        <f t="shared" si="19"/>
        <v>0</v>
      </c>
      <c r="O25" s="134">
        <f t="shared" si="20"/>
        <v>0</v>
      </c>
      <c r="P25" s="178"/>
      <c r="Q25" s="157">
        <f t="shared" si="21"/>
        <v>0</v>
      </c>
      <c r="R25" s="134">
        <f t="shared" si="22"/>
        <v>0</v>
      </c>
      <c r="S25" s="178"/>
      <c r="T25" s="157">
        <f t="shared" si="23"/>
        <v>0</v>
      </c>
      <c r="U25" s="134">
        <f t="shared" si="24"/>
        <v>0</v>
      </c>
    </row>
    <row r="26" spans="1:21" ht="22" x14ac:dyDescent="0.35">
      <c r="A26" s="136">
        <v>3</v>
      </c>
      <c r="B26" s="180">
        <f t="shared" si="12"/>
        <v>651201103</v>
      </c>
      <c r="C26" s="179" t="str">
        <f t="shared" si="12"/>
        <v>นางสาวกรณ์วิภา เครือภักดี</v>
      </c>
      <c r="D26" s="178"/>
      <c r="E26" s="157">
        <f t="shared" si="13"/>
        <v>0</v>
      </c>
      <c r="F26" s="134">
        <f t="shared" si="14"/>
        <v>0</v>
      </c>
      <c r="G26" s="178"/>
      <c r="H26" s="157">
        <f t="shared" si="15"/>
        <v>0</v>
      </c>
      <c r="I26" s="134">
        <f t="shared" si="16"/>
        <v>0</v>
      </c>
      <c r="J26" s="178"/>
      <c r="K26" s="157">
        <f t="shared" si="17"/>
        <v>0</v>
      </c>
      <c r="L26" s="134">
        <f t="shared" si="18"/>
        <v>0</v>
      </c>
      <c r="M26" s="178"/>
      <c r="N26" s="157">
        <f t="shared" si="19"/>
        <v>0</v>
      </c>
      <c r="O26" s="134">
        <f t="shared" si="20"/>
        <v>0</v>
      </c>
      <c r="P26" s="178"/>
      <c r="Q26" s="157">
        <f t="shared" si="21"/>
        <v>0</v>
      </c>
      <c r="R26" s="134">
        <f t="shared" si="22"/>
        <v>0</v>
      </c>
      <c r="S26" s="178"/>
      <c r="T26" s="157">
        <f t="shared" si="23"/>
        <v>0</v>
      </c>
      <c r="U26" s="134">
        <f t="shared" si="24"/>
        <v>0</v>
      </c>
    </row>
    <row r="27" spans="1:21" ht="22" x14ac:dyDescent="0.35">
      <c r="A27" s="136">
        <v>4</v>
      </c>
      <c r="B27" s="180">
        <f t="shared" si="12"/>
        <v>651201104</v>
      </c>
      <c r="C27" s="179" t="str">
        <f t="shared" si="12"/>
        <v>นางสาวกัลญารัตน์ พิมพานิช</v>
      </c>
      <c r="D27" s="178"/>
      <c r="E27" s="157">
        <f t="shared" si="13"/>
        <v>0</v>
      </c>
      <c r="F27" s="134">
        <f t="shared" si="14"/>
        <v>0</v>
      </c>
      <c r="G27" s="178"/>
      <c r="H27" s="157">
        <f t="shared" si="15"/>
        <v>0</v>
      </c>
      <c r="I27" s="134">
        <f t="shared" si="16"/>
        <v>0</v>
      </c>
      <c r="J27" s="178"/>
      <c r="K27" s="157">
        <f t="shared" si="17"/>
        <v>0</v>
      </c>
      <c r="L27" s="134">
        <f t="shared" si="18"/>
        <v>0</v>
      </c>
      <c r="M27" s="178"/>
      <c r="N27" s="157">
        <f t="shared" si="19"/>
        <v>0</v>
      </c>
      <c r="O27" s="134">
        <f t="shared" si="20"/>
        <v>0</v>
      </c>
      <c r="P27" s="178"/>
      <c r="Q27" s="157">
        <f t="shared" si="21"/>
        <v>0</v>
      </c>
      <c r="R27" s="134">
        <f t="shared" si="22"/>
        <v>0</v>
      </c>
      <c r="S27" s="178"/>
      <c r="T27" s="157">
        <f t="shared" si="23"/>
        <v>0</v>
      </c>
      <c r="U27" s="134">
        <f t="shared" si="24"/>
        <v>0</v>
      </c>
    </row>
    <row r="28" spans="1:21" ht="22" x14ac:dyDescent="0.35">
      <c r="A28" s="136">
        <v>5</v>
      </c>
      <c r="B28" s="180">
        <f t="shared" si="12"/>
        <v>651201105</v>
      </c>
      <c r="C28" s="179" t="str">
        <f t="shared" si="12"/>
        <v>นางสาวกิตติยาภรณ์ วาสุชาติ</v>
      </c>
      <c r="D28" s="178"/>
      <c r="E28" s="157">
        <f t="shared" si="13"/>
        <v>0</v>
      </c>
      <c r="F28" s="134">
        <f t="shared" si="14"/>
        <v>0</v>
      </c>
      <c r="G28" s="178"/>
      <c r="H28" s="157">
        <f t="shared" si="15"/>
        <v>0</v>
      </c>
      <c r="I28" s="134">
        <f t="shared" si="16"/>
        <v>0</v>
      </c>
      <c r="J28" s="178"/>
      <c r="K28" s="157">
        <f t="shared" si="17"/>
        <v>0</v>
      </c>
      <c r="L28" s="134">
        <f t="shared" si="18"/>
        <v>0</v>
      </c>
      <c r="M28" s="178"/>
      <c r="N28" s="157">
        <f t="shared" si="19"/>
        <v>0</v>
      </c>
      <c r="O28" s="134">
        <f t="shared" si="20"/>
        <v>0</v>
      </c>
      <c r="P28" s="178"/>
      <c r="Q28" s="157">
        <f t="shared" si="21"/>
        <v>0</v>
      </c>
      <c r="R28" s="134">
        <f t="shared" si="22"/>
        <v>0</v>
      </c>
      <c r="S28" s="178"/>
      <c r="T28" s="157">
        <f t="shared" si="23"/>
        <v>0</v>
      </c>
      <c r="U28" s="134">
        <f t="shared" si="24"/>
        <v>0</v>
      </c>
    </row>
    <row r="29" spans="1:21" ht="22" x14ac:dyDescent="0.35">
      <c r="A29" s="136">
        <v>6</v>
      </c>
      <c r="B29" s="180">
        <f t="shared" si="12"/>
        <v>651201106</v>
      </c>
      <c r="C29" s="179" t="str">
        <f t="shared" si="12"/>
        <v>นายกิตติศักดิ์ ประทุม</v>
      </c>
      <c r="D29" s="178"/>
      <c r="E29" s="157">
        <f t="shared" si="13"/>
        <v>0</v>
      </c>
      <c r="F29" s="134">
        <f t="shared" si="14"/>
        <v>0</v>
      </c>
      <c r="G29" s="178"/>
      <c r="H29" s="157">
        <f t="shared" si="15"/>
        <v>0</v>
      </c>
      <c r="I29" s="134">
        <f t="shared" si="16"/>
        <v>0</v>
      </c>
      <c r="J29" s="178"/>
      <c r="K29" s="157">
        <f t="shared" si="17"/>
        <v>0</v>
      </c>
      <c r="L29" s="134">
        <f t="shared" si="18"/>
        <v>0</v>
      </c>
      <c r="M29" s="178"/>
      <c r="N29" s="157">
        <f t="shared" si="19"/>
        <v>0</v>
      </c>
      <c r="O29" s="134">
        <f t="shared" si="20"/>
        <v>0</v>
      </c>
      <c r="P29" s="178"/>
      <c r="Q29" s="157">
        <f t="shared" si="21"/>
        <v>0</v>
      </c>
      <c r="R29" s="134">
        <f t="shared" si="22"/>
        <v>0</v>
      </c>
      <c r="S29" s="178"/>
      <c r="T29" s="157">
        <f t="shared" si="23"/>
        <v>0</v>
      </c>
      <c r="U29" s="134">
        <f t="shared" si="24"/>
        <v>0</v>
      </c>
    </row>
    <row r="30" spans="1:21" ht="22" x14ac:dyDescent="0.35">
      <c r="A30" s="136">
        <v>7</v>
      </c>
      <c r="B30" s="180">
        <f t="shared" si="12"/>
        <v>651201107</v>
      </c>
      <c r="C30" s="179" t="str">
        <f t="shared" si="12"/>
        <v>นางสาวเกวลิน เวฬุวนารักษ์</v>
      </c>
      <c r="D30" s="178"/>
      <c r="E30" s="157">
        <f t="shared" si="13"/>
        <v>0</v>
      </c>
      <c r="F30" s="134">
        <f t="shared" si="14"/>
        <v>0</v>
      </c>
      <c r="G30" s="178"/>
      <c r="H30" s="157">
        <f t="shared" si="15"/>
        <v>0</v>
      </c>
      <c r="I30" s="134">
        <f t="shared" si="16"/>
        <v>0</v>
      </c>
      <c r="J30" s="178"/>
      <c r="K30" s="157">
        <f t="shared" si="17"/>
        <v>0</v>
      </c>
      <c r="L30" s="134">
        <f t="shared" si="18"/>
        <v>0</v>
      </c>
      <c r="M30" s="178"/>
      <c r="N30" s="157">
        <f t="shared" si="19"/>
        <v>0</v>
      </c>
      <c r="O30" s="134">
        <f t="shared" si="20"/>
        <v>0</v>
      </c>
      <c r="P30" s="178"/>
      <c r="Q30" s="157">
        <f t="shared" si="21"/>
        <v>0</v>
      </c>
      <c r="R30" s="134">
        <f t="shared" si="22"/>
        <v>0</v>
      </c>
      <c r="S30" s="178"/>
      <c r="T30" s="157">
        <f t="shared" si="23"/>
        <v>0</v>
      </c>
      <c r="U30" s="134">
        <f t="shared" si="24"/>
        <v>0</v>
      </c>
    </row>
    <row r="31" spans="1:21" ht="22" x14ac:dyDescent="0.35">
      <c r="A31" s="136">
        <v>8</v>
      </c>
      <c r="B31" s="180">
        <f t="shared" si="12"/>
        <v>651201108</v>
      </c>
      <c r="C31" s="179" t="str">
        <f t="shared" si="12"/>
        <v>นางสาวเกศรินทร์ ขอพลกลาง</v>
      </c>
      <c r="D31" s="178"/>
      <c r="E31" s="157">
        <f t="shared" si="13"/>
        <v>0</v>
      </c>
      <c r="F31" s="134">
        <f t="shared" si="14"/>
        <v>0</v>
      </c>
      <c r="G31" s="178"/>
      <c r="H31" s="157">
        <f t="shared" si="15"/>
        <v>0</v>
      </c>
      <c r="I31" s="134">
        <f t="shared" si="16"/>
        <v>0</v>
      </c>
      <c r="J31" s="178"/>
      <c r="K31" s="157">
        <f t="shared" si="17"/>
        <v>0</v>
      </c>
      <c r="L31" s="134">
        <f t="shared" si="18"/>
        <v>0</v>
      </c>
      <c r="M31" s="178"/>
      <c r="N31" s="157">
        <f t="shared" si="19"/>
        <v>0</v>
      </c>
      <c r="O31" s="134">
        <f t="shared" si="20"/>
        <v>0</v>
      </c>
      <c r="P31" s="178"/>
      <c r="Q31" s="157">
        <f t="shared" si="21"/>
        <v>0</v>
      </c>
      <c r="R31" s="134">
        <f t="shared" si="22"/>
        <v>0</v>
      </c>
      <c r="S31" s="178"/>
      <c r="T31" s="157">
        <f t="shared" si="23"/>
        <v>0</v>
      </c>
      <c r="U31" s="134">
        <f t="shared" si="24"/>
        <v>0</v>
      </c>
    </row>
    <row r="32" spans="1:21" x14ac:dyDescent="0.35">
      <c r="A32" s="136">
        <v>9</v>
      </c>
      <c r="B32" s="180">
        <f t="shared" si="12"/>
        <v>0</v>
      </c>
      <c r="C32" s="179">
        <f t="shared" si="12"/>
        <v>0</v>
      </c>
      <c r="D32" s="178"/>
      <c r="E32" s="157">
        <f t="shared" si="13"/>
        <v>0</v>
      </c>
      <c r="F32" s="134">
        <f t="shared" si="14"/>
        <v>0</v>
      </c>
      <c r="G32" s="178"/>
      <c r="H32" s="157">
        <f t="shared" si="15"/>
        <v>0</v>
      </c>
      <c r="I32" s="134">
        <f t="shared" si="16"/>
        <v>0</v>
      </c>
      <c r="J32" s="178"/>
      <c r="K32" s="157">
        <f t="shared" si="17"/>
        <v>0</v>
      </c>
      <c r="L32" s="134">
        <f t="shared" si="18"/>
        <v>0</v>
      </c>
      <c r="M32" s="178"/>
      <c r="N32" s="157">
        <f t="shared" si="19"/>
        <v>0</v>
      </c>
      <c r="O32" s="134">
        <f t="shared" si="20"/>
        <v>0</v>
      </c>
      <c r="P32" s="178"/>
      <c r="Q32" s="157">
        <f t="shared" si="21"/>
        <v>0</v>
      </c>
      <c r="R32" s="134">
        <f t="shared" si="22"/>
        <v>0</v>
      </c>
      <c r="S32" s="178"/>
      <c r="T32" s="157">
        <f t="shared" si="23"/>
        <v>0</v>
      </c>
      <c r="U32" s="134">
        <f t="shared" si="24"/>
        <v>0</v>
      </c>
    </row>
    <row r="33" spans="1:21" x14ac:dyDescent="0.35">
      <c r="A33" s="136">
        <v>10</v>
      </c>
      <c r="B33" s="180">
        <f t="shared" si="12"/>
        <v>0</v>
      </c>
      <c r="C33" s="179">
        <f t="shared" si="12"/>
        <v>0</v>
      </c>
      <c r="D33" s="178"/>
      <c r="E33" s="157">
        <f t="shared" si="13"/>
        <v>0</v>
      </c>
      <c r="F33" s="134">
        <f t="shared" si="14"/>
        <v>0</v>
      </c>
      <c r="G33" s="178"/>
      <c r="H33" s="157">
        <f t="shared" si="15"/>
        <v>0</v>
      </c>
      <c r="I33" s="134">
        <f t="shared" si="16"/>
        <v>0</v>
      </c>
      <c r="J33" s="178"/>
      <c r="K33" s="157">
        <f t="shared" si="17"/>
        <v>0</v>
      </c>
      <c r="L33" s="134">
        <f t="shared" si="18"/>
        <v>0</v>
      </c>
      <c r="M33" s="178"/>
      <c r="N33" s="157">
        <f t="shared" si="19"/>
        <v>0</v>
      </c>
      <c r="O33" s="134">
        <f t="shared" si="20"/>
        <v>0</v>
      </c>
      <c r="P33" s="178"/>
      <c r="Q33" s="157">
        <f t="shared" si="21"/>
        <v>0</v>
      </c>
      <c r="R33" s="134">
        <f t="shared" si="22"/>
        <v>0</v>
      </c>
      <c r="S33" s="178"/>
      <c r="T33" s="157">
        <f t="shared" si="23"/>
        <v>0</v>
      </c>
      <c r="U33" s="134">
        <f t="shared" si="24"/>
        <v>0</v>
      </c>
    </row>
    <row r="34" spans="1:21" x14ac:dyDescent="0.35">
      <c r="C34" s="141" t="s">
        <v>13</v>
      </c>
      <c r="D34" s="145" t="e">
        <f>AVERAGE($D$24:$D$33)</f>
        <v>#DIV/0!</v>
      </c>
      <c r="G34" s="145" t="e">
        <f>AVERAGE($G$24:$G$33)</f>
        <v>#DIV/0!</v>
      </c>
      <c r="J34" s="145" t="e">
        <f>AVERAGE($J$24:$J$33)</f>
        <v>#DIV/0!</v>
      </c>
      <c r="M34" s="145" t="e">
        <f>AVERAGE($M$24:$M$33)</f>
        <v>#DIV/0!</v>
      </c>
      <c r="P34" s="145" t="e">
        <f>AVERAGE($P$24:$P$33)</f>
        <v>#DIV/0!</v>
      </c>
      <c r="S34" s="186" t="e">
        <f>AVERAGE($S$24:$S$33)</f>
        <v>#DIV/0!</v>
      </c>
    </row>
    <row r="35" spans="1:21" x14ac:dyDescent="0.35">
      <c r="C35" s="141" t="s">
        <v>14</v>
      </c>
      <c r="D35" s="145" t="e">
        <f>STDEV($D$24:$D$33)</f>
        <v>#DIV/0!</v>
      </c>
      <c r="F35" s="168"/>
      <c r="G35" s="145" t="e">
        <f>STDEV($G$24:$G$33)</f>
        <v>#DIV/0!</v>
      </c>
      <c r="J35" s="145" t="e">
        <f>STDEV($J$24:$J$33)</f>
        <v>#DIV/0!</v>
      </c>
      <c r="L35" s="168"/>
      <c r="M35" s="145" t="e">
        <f>STDEV($M$24:$M$33)</f>
        <v>#DIV/0!</v>
      </c>
      <c r="P35" s="145" t="e">
        <f>STDEV($P$24:$P$33)</f>
        <v>#DIV/0!</v>
      </c>
      <c r="S35" s="186" t="e">
        <f>STDEV($S$24:$S$33)</f>
        <v>#DIV/0!</v>
      </c>
    </row>
    <row r="36" spans="1:21" x14ac:dyDescent="0.35">
      <c r="C36" s="141"/>
      <c r="D36" s="145"/>
      <c r="F36" s="168"/>
      <c r="G36" s="145" t="s">
        <v>2</v>
      </c>
      <c r="J36" s="145"/>
      <c r="L36" s="168"/>
      <c r="M36" s="145"/>
      <c r="P36" s="131" t="s">
        <v>2</v>
      </c>
    </row>
    <row r="37" spans="1:21" x14ac:dyDescent="0.35"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</row>
    <row r="38" spans="1:21" x14ac:dyDescent="0.35">
      <c r="A38" s="222" t="s">
        <v>76</v>
      </c>
      <c r="B38" s="222" t="s">
        <v>12</v>
      </c>
      <c r="C38" s="222" t="s">
        <v>0</v>
      </c>
      <c r="D38" s="238"/>
      <c r="E38" s="238"/>
      <c r="F38" s="238"/>
      <c r="G38" s="238"/>
      <c r="H38" s="238"/>
      <c r="I38" s="238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</row>
    <row r="39" spans="1:21" x14ac:dyDescent="0.35">
      <c r="A39" s="222"/>
      <c r="B39" s="222"/>
      <c r="C39" s="222"/>
      <c r="D39" s="139" t="s">
        <v>17</v>
      </c>
      <c r="E39" s="139" t="s">
        <v>6</v>
      </c>
      <c r="F39" s="139" t="s">
        <v>3</v>
      </c>
      <c r="G39" s="139" t="s">
        <v>17</v>
      </c>
      <c r="H39" s="139" t="s">
        <v>6</v>
      </c>
      <c r="I39" s="139" t="s">
        <v>3</v>
      </c>
      <c r="J39" s="139" t="s">
        <v>17</v>
      </c>
      <c r="K39" s="139" t="s">
        <v>6</v>
      </c>
      <c r="L39" s="139" t="s">
        <v>3</v>
      </c>
      <c r="M39" s="139" t="s">
        <v>17</v>
      </c>
      <c r="N39" s="139" t="s">
        <v>6</v>
      </c>
      <c r="O39" s="139" t="s">
        <v>3</v>
      </c>
      <c r="P39" s="139" t="s">
        <v>17</v>
      </c>
      <c r="Q39" s="139" t="s">
        <v>6</v>
      </c>
      <c r="R39" s="139" t="s">
        <v>3</v>
      </c>
      <c r="S39" s="139" t="s">
        <v>17</v>
      </c>
      <c r="T39" s="139" t="s">
        <v>6</v>
      </c>
      <c r="U39" s="139" t="s">
        <v>3</v>
      </c>
    </row>
    <row r="40" spans="1:21" x14ac:dyDescent="0.35">
      <c r="A40" s="222"/>
      <c r="B40" s="222"/>
      <c r="C40" s="222"/>
      <c r="D40" s="183"/>
      <c r="E40" s="183"/>
      <c r="F40" s="181">
        <f>$E$40/10</f>
        <v>0</v>
      </c>
      <c r="G40" s="183"/>
      <c r="H40" s="183"/>
      <c r="I40" s="181">
        <f>$H$40/10</f>
        <v>0</v>
      </c>
      <c r="J40" s="183"/>
      <c r="K40" s="183"/>
      <c r="L40" s="185">
        <f>$K$40/10</f>
        <v>0</v>
      </c>
      <c r="M40" s="183"/>
      <c r="N40" s="183"/>
      <c r="O40" s="181">
        <f>$N$40/10</f>
        <v>0</v>
      </c>
      <c r="P40" s="183"/>
      <c r="Q40" s="183"/>
      <c r="R40" s="181">
        <f>$Q$40/10</f>
        <v>0</v>
      </c>
      <c r="S40" s="183"/>
      <c r="T40" s="183"/>
      <c r="U40" s="181">
        <f>$T$40/10</f>
        <v>0</v>
      </c>
    </row>
    <row r="41" spans="1:21" ht="22" x14ac:dyDescent="0.35">
      <c r="A41" s="136">
        <v>1</v>
      </c>
      <c r="B41" s="180">
        <f t="shared" ref="B41:C50" si="25">B8</f>
        <v>651201101</v>
      </c>
      <c r="C41" s="179" t="str">
        <f t="shared" si="25"/>
        <v>นางสาวกนกทิพย์ สีกวาง</v>
      </c>
      <c r="D41" s="178"/>
      <c r="E41" s="157">
        <f t="shared" ref="E41:E50" si="26">IF(D41="-","-",IF(D41=0,0,(D41*$E$40)/$D$40))</f>
        <v>0</v>
      </c>
      <c r="F41" s="134">
        <f t="shared" ref="F41:F50" si="27">IF(D41="-","-",IF(D41=0,0,IF($D$52=0,50,(50+(10*(STANDARDIZE(D41,$D$51,$D$52)))))*$F$40))</f>
        <v>0</v>
      </c>
      <c r="G41" s="178"/>
      <c r="H41" s="157">
        <f t="shared" ref="H41:H50" si="28">IF(G41="-","-",IF(G41=0,0,(G41*$H$40)/$G$40))</f>
        <v>0</v>
      </c>
      <c r="I41" s="134">
        <f t="shared" ref="I41:I50" si="29">IF(G41="-","-",IF(G41=0,0,IF($G$52=0,50,(50+(10*(STANDARDIZE(G41,$G$51,$G$52)))))*$I$40))</f>
        <v>0</v>
      </c>
      <c r="J41" s="178"/>
      <c r="K41" s="157">
        <f t="shared" ref="K41:K50" si="30">IF(J41="-","-",IF(J41=0,0,(J41*$K$40)/$J$40))</f>
        <v>0</v>
      </c>
      <c r="L41" s="134">
        <f t="shared" ref="L41:L50" si="31">IF(J41="-","-",IF(J41=0,0,IF($J$52=0,50,(50+(10*(STANDARDIZE(J41,$J$51,$J$52)))))*$L$40))</f>
        <v>0</v>
      </c>
      <c r="M41" s="178"/>
      <c r="N41" s="157">
        <f t="shared" ref="N41:N50" si="32">IF(M41="-","-",IF(M41=0,0,(M41*$N$40)/$M$40))</f>
        <v>0</v>
      </c>
      <c r="O41" s="134">
        <f t="shared" ref="O41:O50" si="33">IF(M41="-","-",IF(M41=0,0,IF($M$52=0,50,(50+(10*(STANDARDIZE(M41,$M$51,$M$52)))))*$O$40))</f>
        <v>0</v>
      </c>
      <c r="P41" s="178"/>
      <c r="Q41" s="157">
        <f t="shared" ref="Q41:Q50" si="34">IF(P41="-","-",IF(P41=0,0,(P41*$Q$40)/$P$40))</f>
        <v>0</v>
      </c>
      <c r="R41" s="134">
        <f t="shared" ref="R41:R50" si="35">IF(P41="-","-",IF(P41=0,0,IF($P$52=0,50,(50+(10*(STANDARDIZE(P41,$P$51,$P$52)))))*$R$40))</f>
        <v>0</v>
      </c>
      <c r="S41" s="178"/>
      <c r="T41" s="157">
        <f t="shared" ref="T41:T50" si="36">IF(S41="-","-",IF(S41=0,0,(S41*$T$40)/$S$40))</f>
        <v>0</v>
      </c>
      <c r="U41" s="134">
        <f t="shared" ref="U41:U50" si="37">IF(S41="-","-",IF(S41=0,0,IF($S$52=0,50,(50+(10*(STANDARDIZE(S41,$S$51,$S$52)))))*$U$40))</f>
        <v>0</v>
      </c>
    </row>
    <row r="42" spans="1:21" ht="22" x14ac:dyDescent="0.35">
      <c r="A42" s="136">
        <v>2</v>
      </c>
      <c r="B42" s="180">
        <f t="shared" si="25"/>
        <v>651201102</v>
      </c>
      <c r="C42" s="179" t="str">
        <f t="shared" si="25"/>
        <v>นายกมลภพ หนูพันธ์</v>
      </c>
      <c r="D42" s="178"/>
      <c r="E42" s="157">
        <f t="shared" si="26"/>
        <v>0</v>
      </c>
      <c r="F42" s="134">
        <f t="shared" si="27"/>
        <v>0</v>
      </c>
      <c r="G42" s="178"/>
      <c r="H42" s="157">
        <f t="shared" si="28"/>
        <v>0</v>
      </c>
      <c r="I42" s="134">
        <f t="shared" si="29"/>
        <v>0</v>
      </c>
      <c r="J42" s="178"/>
      <c r="K42" s="157">
        <f t="shared" si="30"/>
        <v>0</v>
      </c>
      <c r="L42" s="134">
        <f t="shared" si="31"/>
        <v>0</v>
      </c>
      <c r="M42" s="178"/>
      <c r="N42" s="157">
        <f t="shared" si="32"/>
        <v>0</v>
      </c>
      <c r="O42" s="134">
        <f t="shared" si="33"/>
        <v>0</v>
      </c>
      <c r="P42" s="178"/>
      <c r="Q42" s="157">
        <f t="shared" si="34"/>
        <v>0</v>
      </c>
      <c r="R42" s="134">
        <f t="shared" si="35"/>
        <v>0</v>
      </c>
      <c r="S42" s="178"/>
      <c r="T42" s="157">
        <f t="shared" si="36"/>
        <v>0</v>
      </c>
      <c r="U42" s="134">
        <f t="shared" si="37"/>
        <v>0</v>
      </c>
    </row>
    <row r="43" spans="1:21" ht="22" x14ac:dyDescent="0.35">
      <c r="A43" s="136">
        <v>3</v>
      </c>
      <c r="B43" s="180">
        <f t="shared" si="25"/>
        <v>651201103</v>
      </c>
      <c r="C43" s="179" t="str">
        <f t="shared" si="25"/>
        <v>นางสาวกรณ์วิภา เครือภักดี</v>
      </c>
      <c r="D43" s="178"/>
      <c r="E43" s="157">
        <f t="shared" si="26"/>
        <v>0</v>
      </c>
      <c r="F43" s="134">
        <f t="shared" si="27"/>
        <v>0</v>
      </c>
      <c r="G43" s="178"/>
      <c r="H43" s="157">
        <f t="shared" si="28"/>
        <v>0</v>
      </c>
      <c r="I43" s="134">
        <f t="shared" si="29"/>
        <v>0</v>
      </c>
      <c r="J43" s="178"/>
      <c r="K43" s="157">
        <f t="shared" si="30"/>
        <v>0</v>
      </c>
      <c r="L43" s="134">
        <f t="shared" si="31"/>
        <v>0</v>
      </c>
      <c r="M43" s="178"/>
      <c r="N43" s="157">
        <f t="shared" si="32"/>
        <v>0</v>
      </c>
      <c r="O43" s="134">
        <f t="shared" si="33"/>
        <v>0</v>
      </c>
      <c r="P43" s="178"/>
      <c r="Q43" s="157">
        <f t="shared" si="34"/>
        <v>0</v>
      </c>
      <c r="R43" s="134">
        <f t="shared" si="35"/>
        <v>0</v>
      </c>
      <c r="S43" s="178"/>
      <c r="T43" s="157">
        <f t="shared" si="36"/>
        <v>0</v>
      </c>
      <c r="U43" s="134">
        <f t="shared" si="37"/>
        <v>0</v>
      </c>
    </row>
    <row r="44" spans="1:21" ht="22" x14ac:dyDescent="0.35">
      <c r="A44" s="136">
        <v>4</v>
      </c>
      <c r="B44" s="180">
        <f t="shared" si="25"/>
        <v>651201104</v>
      </c>
      <c r="C44" s="179" t="str">
        <f t="shared" si="25"/>
        <v>นางสาวกัลญารัตน์ พิมพานิช</v>
      </c>
      <c r="D44" s="178"/>
      <c r="E44" s="157">
        <f t="shared" si="26"/>
        <v>0</v>
      </c>
      <c r="F44" s="134">
        <f t="shared" si="27"/>
        <v>0</v>
      </c>
      <c r="G44" s="178"/>
      <c r="H44" s="157">
        <f t="shared" si="28"/>
        <v>0</v>
      </c>
      <c r="I44" s="134">
        <f t="shared" si="29"/>
        <v>0</v>
      </c>
      <c r="J44" s="178"/>
      <c r="K44" s="157">
        <f t="shared" si="30"/>
        <v>0</v>
      </c>
      <c r="L44" s="134">
        <f t="shared" si="31"/>
        <v>0</v>
      </c>
      <c r="M44" s="178"/>
      <c r="N44" s="157">
        <f t="shared" si="32"/>
        <v>0</v>
      </c>
      <c r="O44" s="134">
        <f t="shared" si="33"/>
        <v>0</v>
      </c>
      <c r="P44" s="178"/>
      <c r="Q44" s="157">
        <f t="shared" si="34"/>
        <v>0</v>
      </c>
      <c r="R44" s="134">
        <f t="shared" si="35"/>
        <v>0</v>
      </c>
      <c r="S44" s="178"/>
      <c r="T44" s="157">
        <f t="shared" si="36"/>
        <v>0</v>
      </c>
      <c r="U44" s="134">
        <f t="shared" si="37"/>
        <v>0</v>
      </c>
    </row>
    <row r="45" spans="1:21" ht="22" x14ac:dyDescent="0.35">
      <c r="A45" s="136">
        <v>5</v>
      </c>
      <c r="B45" s="180">
        <f t="shared" si="25"/>
        <v>651201105</v>
      </c>
      <c r="C45" s="179" t="str">
        <f t="shared" si="25"/>
        <v>นางสาวกิตติยาภรณ์ วาสุชาติ</v>
      </c>
      <c r="D45" s="178"/>
      <c r="E45" s="157">
        <f t="shared" si="26"/>
        <v>0</v>
      </c>
      <c r="F45" s="134">
        <f t="shared" si="27"/>
        <v>0</v>
      </c>
      <c r="G45" s="178"/>
      <c r="H45" s="157">
        <f t="shared" si="28"/>
        <v>0</v>
      </c>
      <c r="I45" s="134">
        <f t="shared" si="29"/>
        <v>0</v>
      </c>
      <c r="J45" s="178"/>
      <c r="K45" s="157">
        <f t="shared" si="30"/>
        <v>0</v>
      </c>
      <c r="L45" s="134">
        <f t="shared" si="31"/>
        <v>0</v>
      </c>
      <c r="M45" s="178"/>
      <c r="N45" s="157">
        <f t="shared" si="32"/>
        <v>0</v>
      </c>
      <c r="O45" s="134">
        <f t="shared" si="33"/>
        <v>0</v>
      </c>
      <c r="P45" s="178"/>
      <c r="Q45" s="157">
        <f t="shared" si="34"/>
        <v>0</v>
      </c>
      <c r="R45" s="134">
        <f t="shared" si="35"/>
        <v>0</v>
      </c>
      <c r="S45" s="178"/>
      <c r="T45" s="157">
        <f t="shared" si="36"/>
        <v>0</v>
      </c>
      <c r="U45" s="134">
        <f t="shared" si="37"/>
        <v>0</v>
      </c>
    </row>
    <row r="46" spans="1:21" ht="22" x14ac:dyDescent="0.35">
      <c r="A46" s="136">
        <v>6</v>
      </c>
      <c r="B46" s="180">
        <f t="shared" si="25"/>
        <v>651201106</v>
      </c>
      <c r="C46" s="179" t="str">
        <f t="shared" si="25"/>
        <v>นายกิตติศักดิ์ ประทุม</v>
      </c>
      <c r="D46" s="178"/>
      <c r="E46" s="157">
        <f t="shared" si="26"/>
        <v>0</v>
      </c>
      <c r="F46" s="134">
        <f t="shared" si="27"/>
        <v>0</v>
      </c>
      <c r="G46" s="178"/>
      <c r="H46" s="157">
        <f t="shared" si="28"/>
        <v>0</v>
      </c>
      <c r="I46" s="134">
        <f t="shared" si="29"/>
        <v>0</v>
      </c>
      <c r="J46" s="178"/>
      <c r="K46" s="157">
        <f t="shared" si="30"/>
        <v>0</v>
      </c>
      <c r="L46" s="134">
        <f t="shared" si="31"/>
        <v>0</v>
      </c>
      <c r="M46" s="178"/>
      <c r="N46" s="157">
        <f t="shared" si="32"/>
        <v>0</v>
      </c>
      <c r="O46" s="134">
        <f t="shared" si="33"/>
        <v>0</v>
      </c>
      <c r="P46" s="178"/>
      <c r="Q46" s="157">
        <f t="shared" si="34"/>
        <v>0</v>
      </c>
      <c r="R46" s="134">
        <f t="shared" si="35"/>
        <v>0</v>
      </c>
      <c r="S46" s="178"/>
      <c r="T46" s="157">
        <f t="shared" si="36"/>
        <v>0</v>
      </c>
      <c r="U46" s="134">
        <f t="shared" si="37"/>
        <v>0</v>
      </c>
    </row>
    <row r="47" spans="1:21" ht="22" x14ac:dyDescent="0.35">
      <c r="A47" s="136">
        <v>7</v>
      </c>
      <c r="B47" s="180">
        <f t="shared" si="25"/>
        <v>651201107</v>
      </c>
      <c r="C47" s="179" t="str">
        <f t="shared" si="25"/>
        <v>นางสาวเกวลิน เวฬุวนารักษ์</v>
      </c>
      <c r="D47" s="178"/>
      <c r="E47" s="157">
        <f t="shared" si="26"/>
        <v>0</v>
      </c>
      <c r="F47" s="134">
        <f t="shared" si="27"/>
        <v>0</v>
      </c>
      <c r="G47" s="178"/>
      <c r="H47" s="157">
        <f t="shared" si="28"/>
        <v>0</v>
      </c>
      <c r="I47" s="134">
        <f t="shared" si="29"/>
        <v>0</v>
      </c>
      <c r="J47" s="178"/>
      <c r="K47" s="157">
        <f t="shared" si="30"/>
        <v>0</v>
      </c>
      <c r="L47" s="134">
        <f t="shared" si="31"/>
        <v>0</v>
      </c>
      <c r="M47" s="178"/>
      <c r="N47" s="157">
        <f t="shared" si="32"/>
        <v>0</v>
      </c>
      <c r="O47" s="134">
        <f t="shared" si="33"/>
        <v>0</v>
      </c>
      <c r="P47" s="178"/>
      <c r="Q47" s="157">
        <f t="shared" si="34"/>
        <v>0</v>
      </c>
      <c r="R47" s="134">
        <f t="shared" si="35"/>
        <v>0</v>
      </c>
      <c r="S47" s="178"/>
      <c r="T47" s="157">
        <f t="shared" si="36"/>
        <v>0</v>
      </c>
      <c r="U47" s="134">
        <f t="shared" si="37"/>
        <v>0</v>
      </c>
    </row>
    <row r="48" spans="1:21" ht="22" x14ac:dyDescent="0.35">
      <c r="A48" s="136">
        <v>8</v>
      </c>
      <c r="B48" s="180">
        <f t="shared" si="25"/>
        <v>651201108</v>
      </c>
      <c r="C48" s="179" t="str">
        <f t="shared" si="25"/>
        <v>นางสาวเกศรินทร์ ขอพลกลาง</v>
      </c>
      <c r="D48" s="178"/>
      <c r="E48" s="157">
        <f t="shared" si="26"/>
        <v>0</v>
      </c>
      <c r="F48" s="134">
        <f t="shared" si="27"/>
        <v>0</v>
      </c>
      <c r="G48" s="178"/>
      <c r="H48" s="157">
        <f t="shared" si="28"/>
        <v>0</v>
      </c>
      <c r="I48" s="134">
        <f t="shared" si="29"/>
        <v>0</v>
      </c>
      <c r="J48" s="178"/>
      <c r="K48" s="157">
        <f t="shared" si="30"/>
        <v>0</v>
      </c>
      <c r="L48" s="134">
        <f t="shared" si="31"/>
        <v>0</v>
      </c>
      <c r="M48" s="178"/>
      <c r="N48" s="157">
        <f t="shared" si="32"/>
        <v>0</v>
      </c>
      <c r="O48" s="134">
        <f t="shared" si="33"/>
        <v>0</v>
      </c>
      <c r="P48" s="178"/>
      <c r="Q48" s="157">
        <f t="shared" si="34"/>
        <v>0</v>
      </c>
      <c r="R48" s="134">
        <f t="shared" si="35"/>
        <v>0</v>
      </c>
      <c r="S48" s="178"/>
      <c r="T48" s="157">
        <f t="shared" si="36"/>
        <v>0</v>
      </c>
      <c r="U48" s="134">
        <f t="shared" si="37"/>
        <v>0</v>
      </c>
    </row>
    <row r="49" spans="1:21" x14ac:dyDescent="0.35">
      <c r="A49" s="136">
        <v>9</v>
      </c>
      <c r="B49" s="180">
        <f t="shared" si="25"/>
        <v>0</v>
      </c>
      <c r="C49" s="179">
        <f t="shared" si="25"/>
        <v>0</v>
      </c>
      <c r="D49" s="178"/>
      <c r="E49" s="157">
        <f t="shared" si="26"/>
        <v>0</v>
      </c>
      <c r="F49" s="134">
        <f t="shared" si="27"/>
        <v>0</v>
      </c>
      <c r="G49" s="178"/>
      <c r="H49" s="157">
        <f t="shared" si="28"/>
        <v>0</v>
      </c>
      <c r="I49" s="134">
        <f t="shared" si="29"/>
        <v>0</v>
      </c>
      <c r="J49" s="178"/>
      <c r="K49" s="157">
        <f t="shared" si="30"/>
        <v>0</v>
      </c>
      <c r="L49" s="134">
        <f t="shared" si="31"/>
        <v>0</v>
      </c>
      <c r="M49" s="178"/>
      <c r="N49" s="157">
        <f t="shared" si="32"/>
        <v>0</v>
      </c>
      <c r="O49" s="134">
        <f t="shared" si="33"/>
        <v>0</v>
      </c>
      <c r="P49" s="178"/>
      <c r="Q49" s="157">
        <f t="shared" si="34"/>
        <v>0</v>
      </c>
      <c r="R49" s="134">
        <f t="shared" si="35"/>
        <v>0</v>
      </c>
      <c r="S49" s="178"/>
      <c r="T49" s="157">
        <f t="shared" si="36"/>
        <v>0</v>
      </c>
      <c r="U49" s="134">
        <f t="shared" si="37"/>
        <v>0</v>
      </c>
    </row>
    <row r="50" spans="1:21" x14ac:dyDescent="0.35">
      <c r="A50" s="136">
        <v>10</v>
      </c>
      <c r="B50" s="180">
        <f t="shared" si="25"/>
        <v>0</v>
      </c>
      <c r="C50" s="179">
        <f t="shared" si="25"/>
        <v>0</v>
      </c>
      <c r="D50" s="178"/>
      <c r="E50" s="157">
        <f t="shared" si="26"/>
        <v>0</v>
      </c>
      <c r="F50" s="134">
        <f t="shared" si="27"/>
        <v>0</v>
      </c>
      <c r="G50" s="178"/>
      <c r="H50" s="157">
        <f t="shared" si="28"/>
        <v>0</v>
      </c>
      <c r="I50" s="134">
        <f t="shared" si="29"/>
        <v>0</v>
      </c>
      <c r="J50" s="178"/>
      <c r="K50" s="157">
        <f t="shared" si="30"/>
        <v>0</v>
      </c>
      <c r="L50" s="134">
        <f t="shared" si="31"/>
        <v>0</v>
      </c>
      <c r="M50" s="178"/>
      <c r="N50" s="157">
        <f t="shared" si="32"/>
        <v>0</v>
      </c>
      <c r="O50" s="134">
        <f t="shared" si="33"/>
        <v>0</v>
      </c>
      <c r="P50" s="178"/>
      <c r="Q50" s="157">
        <f t="shared" si="34"/>
        <v>0</v>
      </c>
      <c r="R50" s="134">
        <f t="shared" si="35"/>
        <v>0</v>
      </c>
      <c r="S50" s="178"/>
      <c r="T50" s="157">
        <f t="shared" si="36"/>
        <v>0</v>
      </c>
      <c r="U50" s="134">
        <f t="shared" si="37"/>
        <v>0</v>
      </c>
    </row>
    <row r="51" spans="1:21" x14ac:dyDescent="0.35">
      <c r="C51" s="141" t="s">
        <v>13</v>
      </c>
      <c r="D51" s="145" t="e">
        <f>AVERAGE($D$41:$D$50)</f>
        <v>#DIV/0!</v>
      </c>
      <c r="G51" s="145" t="e">
        <f>AVERAGE($G$41:$G$50)</f>
        <v>#DIV/0!</v>
      </c>
      <c r="J51" s="145" t="e">
        <f>AVERAGE($J$41:$J$50)</f>
        <v>#DIV/0!</v>
      </c>
      <c r="M51" s="145" t="e">
        <f>AVERAGE($M$41:$M$50)</f>
        <v>#DIV/0!</v>
      </c>
      <c r="P51" s="145" t="e">
        <f>AVERAGE($P$41:$P$50)</f>
        <v>#DIV/0!</v>
      </c>
      <c r="S51" s="145" t="e">
        <f>AVERAGE($S$41:$S$50)</f>
        <v>#DIV/0!</v>
      </c>
    </row>
    <row r="52" spans="1:21" x14ac:dyDescent="0.35">
      <c r="C52" s="141" t="s">
        <v>14</v>
      </c>
      <c r="D52" s="145" t="e">
        <f>STDEV($D$41:$D$50)</f>
        <v>#DIV/0!</v>
      </c>
      <c r="F52" s="168"/>
      <c r="G52" s="145" t="e">
        <f>STDEV($G$41:$G$50)</f>
        <v>#DIV/0!</v>
      </c>
      <c r="J52" s="145" t="e">
        <f>STDEV($J$41:$J$50)</f>
        <v>#DIV/0!</v>
      </c>
      <c r="M52" s="145" t="e">
        <f>STDEV($M$41:$M$50)</f>
        <v>#DIV/0!</v>
      </c>
      <c r="O52" s="168"/>
      <c r="P52" s="145" t="e">
        <f>STDEV($P$41:$P$50)</f>
        <v>#DIV/0!</v>
      </c>
      <c r="R52" s="168"/>
      <c r="S52" s="145" t="e">
        <f>STDEV($S$41:$S$50)</f>
        <v>#DIV/0!</v>
      </c>
    </row>
    <row r="53" spans="1:21" x14ac:dyDescent="0.35">
      <c r="C53" s="141"/>
      <c r="D53" s="145"/>
      <c r="F53" s="168"/>
      <c r="G53" s="145"/>
      <c r="J53" s="145"/>
      <c r="L53" s="168"/>
      <c r="M53" s="145"/>
      <c r="P53" s="131" t="s">
        <v>2</v>
      </c>
    </row>
    <row r="54" spans="1:21" x14ac:dyDescent="0.35">
      <c r="C54" s="141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</row>
    <row r="55" spans="1:21" ht="18.75" customHeight="1" x14ac:dyDescent="0.35">
      <c r="A55" s="222" t="s">
        <v>5</v>
      </c>
      <c r="B55" s="222" t="s">
        <v>12</v>
      </c>
      <c r="C55" s="222" t="s">
        <v>0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9"/>
      <c r="T55" s="240"/>
      <c r="U55" s="241"/>
    </row>
    <row r="56" spans="1:21" ht="18.75" customHeight="1" x14ac:dyDescent="0.35">
      <c r="A56" s="222"/>
      <c r="B56" s="222"/>
      <c r="C56" s="222"/>
      <c r="D56" s="139" t="s">
        <v>17</v>
      </c>
      <c r="E56" s="139" t="s">
        <v>6</v>
      </c>
      <c r="F56" s="139" t="s">
        <v>3</v>
      </c>
      <c r="G56" s="139" t="s">
        <v>17</v>
      </c>
      <c r="H56" s="139" t="s">
        <v>6</v>
      </c>
      <c r="I56" s="139" t="s">
        <v>3</v>
      </c>
      <c r="J56" s="139" t="s">
        <v>17</v>
      </c>
      <c r="K56" s="139" t="s">
        <v>6</v>
      </c>
      <c r="L56" s="139" t="s">
        <v>3</v>
      </c>
      <c r="M56" s="139" t="s">
        <v>17</v>
      </c>
      <c r="N56" s="139" t="s">
        <v>6</v>
      </c>
      <c r="O56" s="139" t="s">
        <v>3</v>
      </c>
      <c r="P56" s="139" t="s">
        <v>17</v>
      </c>
      <c r="Q56" s="139" t="s">
        <v>6</v>
      </c>
      <c r="R56" s="139" t="s">
        <v>3</v>
      </c>
      <c r="S56" s="139" t="s">
        <v>17</v>
      </c>
      <c r="T56" s="139" t="s">
        <v>6</v>
      </c>
      <c r="U56" s="139" t="s">
        <v>3</v>
      </c>
    </row>
    <row r="57" spans="1:21" x14ac:dyDescent="0.35">
      <c r="A57" s="222"/>
      <c r="B57" s="222"/>
      <c r="C57" s="222"/>
      <c r="D57" s="183"/>
      <c r="E57" s="183"/>
      <c r="F57" s="181">
        <f>$E$57/10</f>
        <v>0</v>
      </c>
      <c r="G57" s="183"/>
      <c r="H57" s="183"/>
      <c r="I57" s="181">
        <f>$H$57/10</f>
        <v>0</v>
      </c>
      <c r="J57" s="183"/>
      <c r="K57" s="183"/>
      <c r="L57" s="181">
        <f>$K$57/10</f>
        <v>0</v>
      </c>
      <c r="M57" s="183"/>
      <c r="N57" s="183"/>
      <c r="O57" s="181">
        <f>$N$57/10</f>
        <v>0</v>
      </c>
      <c r="P57" s="182"/>
      <c r="Q57" s="182"/>
      <c r="R57" s="181">
        <f>$Q$57/10</f>
        <v>0</v>
      </c>
      <c r="S57" s="182"/>
      <c r="T57" s="182"/>
      <c r="U57" s="181">
        <f>$T$57/10</f>
        <v>0</v>
      </c>
    </row>
    <row r="58" spans="1:21" ht="22" x14ac:dyDescent="0.35">
      <c r="A58" s="136">
        <v>1</v>
      </c>
      <c r="B58" s="180">
        <f t="shared" ref="B58:C67" si="38">B8</f>
        <v>651201101</v>
      </c>
      <c r="C58" s="184" t="str">
        <f t="shared" si="38"/>
        <v>นางสาวกนกทิพย์ สีกวาง</v>
      </c>
      <c r="D58" s="178"/>
      <c r="E58" s="157">
        <f t="shared" ref="E58:E67" si="39">IF(D58="-","-",IF(D58=0,0,(D58*$E$57)/$D$57))</f>
        <v>0</v>
      </c>
      <c r="F58" s="134">
        <f t="shared" ref="F58:F67" si="40">IF(D58="-","-",IF(D58=0,0,IF($D$69=0,50,(50+(10*(STANDARDIZE(D58,$D$68,$D$69)))))*$F$57))</f>
        <v>0</v>
      </c>
      <c r="G58" s="178"/>
      <c r="H58" s="157">
        <f t="shared" ref="H58:H67" si="41">IF(G58="-","-",IF(G58=0,0,(G58*$H$57)/$G$57))</f>
        <v>0</v>
      </c>
      <c r="I58" s="134">
        <f t="shared" ref="I58:I67" si="42">IF(G58="-","-",IF(G58=0,0,IF($G$69=0,50,(50+(10*(STANDARDIZE(G58,$G$68,$G$69)))))*$I$57))</f>
        <v>0</v>
      </c>
      <c r="J58" s="178"/>
      <c r="K58" s="157">
        <f t="shared" ref="K58:K67" si="43">IF(J58="-","-",IF(J58=0,0,(J58*$K$57)/$J$57))</f>
        <v>0</v>
      </c>
      <c r="L58" s="134">
        <f t="shared" ref="L58:L67" si="44">IF(J58="-","-",IF(J58=0,0,IF($J$69=0,50,(50+(10*(STANDARDIZE(J58,$J$68,$J$69)))))*$L$57))</f>
        <v>0</v>
      </c>
      <c r="M58" s="178"/>
      <c r="N58" s="157">
        <f t="shared" ref="N58:N67" si="45">IF(M58="-","-",IF(M58=0,0,(M58*$N$40)/$M$40))</f>
        <v>0</v>
      </c>
      <c r="O58" s="134">
        <f t="shared" ref="O58:O67" si="46">IF(M58="-","-",IF(M58=0,0,IF($M$69=0,50,(50+(10*(STANDARDIZE(M58,$M$68,$M$69)))))*$O$57))</f>
        <v>0</v>
      </c>
      <c r="P58" s="178"/>
      <c r="Q58" s="157">
        <f t="shared" ref="Q58:Q67" si="47">IF(P58="-","-",IF(P58=0,0,(P58*$Q$57)/$P$57))</f>
        <v>0</v>
      </c>
      <c r="R58" s="134">
        <f t="shared" ref="R58:R67" si="48">IF(P58="-","-",IF(P58=0,0,IF($P$69=0,50,(50+(10*(STANDARDIZE(P58,$P$68,$P$69)))))*$R$57))</f>
        <v>0</v>
      </c>
      <c r="S58" s="178"/>
      <c r="T58" s="157">
        <f t="shared" ref="T58:T67" si="49">IF(S58="-","-",IF(S58=0,0,(S58*$T$57)/$S$57))</f>
        <v>0</v>
      </c>
      <c r="U58" s="134">
        <f t="shared" ref="U58:U67" si="50">IF(S58="-","-",IF(S58=0,0,IF($S$69=0,50,(50+(10*(STANDARDIZE(S58,$S$68,$S$69)))))*$U$57))</f>
        <v>0</v>
      </c>
    </row>
    <row r="59" spans="1:21" ht="22" x14ac:dyDescent="0.35">
      <c r="A59" s="136">
        <v>2</v>
      </c>
      <c r="B59" s="180">
        <f t="shared" si="38"/>
        <v>651201102</v>
      </c>
      <c r="C59" s="184" t="str">
        <f t="shared" si="38"/>
        <v>นายกมลภพ หนูพันธ์</v>
      </c>
      <c r="D59" s="178"/>
      <c r="E59" s="157">
        <f t="shared" si="39"/>
        <v>0</v>
      </c>
      <c r="F59" s="134">
        <f t="shared" si="40"/>
        <v>0</v>
      </c>
      <c r="G59" s="178"/>
      <c r="H59" s="157">
        <f t="shared" si="41"/>
        <v>0</v>
      </c>
      <c r="I59" s="134">
        <f t="shared" si="42"/>
        <v>0</v>
      </c>
      <c r="J59" s="178"/>
      <c r="K59" s="157">
        <f t="shared" si="43"/>
        <v>0</v>
      </c>
      <c r="L59" s="134">
        <f t="shared" si="44"/>
        <v>0</v>
      </c>
      <c r="M59" s="178"/>
      <c r="N59" s="157">
        <f t="shared" si="45"/>
        <v>0</v>
      </c>
      <c r="O59" s="134">
        <f t="shared" si="46"/>
        <v>0</v>
      </c>
      <c r="P59" s="178"/>
      <c r="Q59" s="157">
        <f t="shared" si="47"/>
        <v>0</v>
      </c>
      <c r="R59" s="134">
        <f t="shared" si="48"/>
        <v>0</v>
      </c>
      <c r="S59" s="178"/>
      <c r="T59" s="157">
        <f t="shared" si="49"/>
        <v>0</v>
      </c>
      <c r="U59" s="134">
        <f t="shared" si="50"/>
        <v>0</v>
      </c>
    </row>
    <row r="60" spans="1:21" ht="22" x14ac:dyDescent="0.35">
      <c r="A60" s="136">
        <v>3</v>
      </c>
      <c r="B60" s="180">
        <f t="shared" si="38"/>
        <v>651201103</v>
      </c>
      <c r="C60" s="184" t="str">
        <f t="shared" si="38"/>
        <v>นางสาวกรณ์วิภา เครือภักดี</v>
      </c>
      <c r="D60" s="178"/>
      <c r="E60" s="157">
        <f t="shared" si="39"/>
        <v>0</v>
      </c>
      <c r="F60" s="134">
        <f t="shared" si="40"/>
        <v>0</v>
      </c>
      <c r="G60" s="178"/>
      <c r="H60" s="157">
        <f t="shared" si="41"/>
        <v>0</v>
      </c>
      <c r="I60" s="134">
        <f t="shared" si="42"/>
        <v>0</v>
      </c>
      <c r="J60" s="178"/>
      <c r="K60" s="157">
        <f t="shared" si="43"/>
        <v>0</v>
      </c>
      <c r="L60" s="134">
        <f t="shared" si="44"/>
        <v>0</v>
      </c>
      <c r="M60" s="178"/>
      <c r="N60" s="157">
        <f t="shared" si="45"/>
        <v>0</v>
      </c>
      <c r="O60" s="134">
        <f t="shared" si="46"/>
        <v>0</v>
      </c>
      <c r="P60" s="178"/>
      <c r="Q60" s="157">
        <f t="shared" si="47"/>
        <v>0</v>
      </c>
      <c r="R60" s="134">
        <f t="shared" si="48"/>
        <v>0</v>
      </c>
      <c r="S60" s="178"/>
      <c r="T60" s="157">
        <f t="shared" si="49"/>
        <v>0</v>
      </c>
      <c r="U60" s="134">
        <f t="shared" si="50"/>
        <v>0</v>
      </c>
    </row>
    <row r="61" spans="1:21" ht="22" x14ac:dyDescent="0.35">
      <c r="A61" s="136">
        <v>4</v>
      </c>
      <c r="B61" s="180">
        <f t="shared" si="38"/>
        <v>651201104</v>
      </c>
      <c r="C61" s="184" t="str">
        <f t="shared" si="38"/>
        <v>นางสาวกัลญารัตน์ พิมพานิช</v>
      </c>
      <c r="D61" s="178"/>
      <c r="E61" s="157">
        <f t="shared" si="39"/>
        <v>0</v>
      </c>
      <c r="F61" s="134">
        <f t="shared" si="40"/>
        <v>0</v>
      </c>
      <c r="G61" s="178"/>
      <c r="H61" s="157">
        <f t="shared" si="41"/>
        <v>0</v>
      </c>
      <c r="I61" s="134">
        <f t="shared" si="42"/>
        <v>0</v>
      </c>
      <c r="J61" s="178"/>
      <c r="K61" s="157">
        <f t="shared" si="43"/>
        <v>0</v>
      </c>
      <c r="L61" s="134">
        <f t="shared" si="44"/>
        <v>0</v>
      </c>
      <c r="M61" s="178"/>
      <c r="N61" s="157">
        <f t="shared" si="45"/>
        <v>0</v>
      </c>
      <c r="O61" s="134">
        <f t="shared" si="46"/>
        <v>0</v>
      </c>
      <c r="P61" s="178"/>
      <c r="Q61" s="157">
        <f t="shared" si="47"/>
        <v>0</v>
      </c>
      <c r="R61" s="134">
        <f t="shared" si="48"/>
        <v>0</v>
      </c>
      <c r="S61" s="178"/>
      <c r="T61" s="157">
        <f t="shared" si="49"/>
        <v>0</v>
      </c>
      <c r="U61" s="134">
        <f t="shared" si="50"/>
        <v>0</v>
      </c>
    </row>
    <row r="62" spans="1:21" ht="22" x14ac:dyDescent="0.35">
      <c r="A62" s="136">
        <v>5</v>
      </c>
      <c r="B62" s="180">
        <f t="shared" si="38"/>
        <v>651201105</v>
      </c>
      <c r="C62" s="184" t="str">
        <f t="shared" si="38"/>
        <v>นางสาวกิตติยาภรณ์ วาสุชาติ</v>
      </c>
      <c r="D62" s="178"/>
      <c r="E62" s="157">
        <f t="shared" si="39"/>
        <v>0</v>
      </c>
      <c r="F62" s="134">
        <f t="shared" si="40"/>
        <v>0</v>
      </c>
      <c r="G62" s="178"/>
      <c r="H62" s="157">
        <f t="shared" si="41"/>
        <v>0</v>
      </c>
      <c r="I62" s="134">
        <f t="shared" si="42"/>
        <v>0</v>
      </c>
      <c r="J62" s="178"/>
      <c r="K62" s="157">
        <f t="shared" si="43"/>
        <v>0</v>
      </c>
      <c r="L62" s="134">
        <f t="shared" si="44"/>
        <v>0</v>
      </c>
      <c r="M62" s="178"/>
      <c r="N62" s="157">
        <f t="shared" si="45"/>
        <v>0</v>
      </c>
      <c r="O62" s="134">
        <f t="shared" si="46"/>
        <v>0</v>
      </c>
      <c r="P62" s="178"/>
      <c r="Q62" s="157">
        <f t="shared" si="47"/>
        <v>0</v>
      </c>
      <c r="R62" s="134">
        <f t="shared" si="48"/>
        <v>0</v>
      </c>
      <c r="S62" s="178"/>
      <c r="T62" s="157">
        <f t="shared" si="49"/>
        <v>0</v>
      </c>
      <c r="U62" s="134">
        <f t="shared" si="50"/>
        <v>0</v>
      </c>
    </row>
    <row r="63" spans="1:21" ht="22" x14ac:dyDescent="0.35">
      <c r="A63" s="136">
        <v>6</v>
      </c>
      <c r="B63" s="180">
        <f t="shared" si="38"/>
        <v>651201106</v>
      </c>
      <c r="C63" s="184" t="str">
        <f t="shared" si="38"/>
        <v>นายกิตติศักดิ์ ประทุม</v>
      </c>
      <c r="D63" s="178"/>
      <c r="E63" s="157">
        <f t="shared" si="39"/>
        <v>0</v>
      </c>
      <c r="F63" s="134">
        <f t="shared" si="40"/>
        <v>0</v>
      </c>
      <c r="G63" s="178"/>
      <c r="H63" s="157">
        <f t="shared" si="41"/>
        <v>0</v>
      </c>
      <c r="I63" s="134">
        <f t="shared" si="42"/>
        <v>0</v>
      </c>
      <c r="J63" s="178"/>
      <c r="K63" s="157">
        <f t="shared" si="43"/>
        <v>0</v>
      </c>
      <c r="L63" s="134">
        <f t="shared" si="44"/>
        <v>0</v>
      </c>
      <c r="M63" s="178"/>
      <c r="N63" s="157">
        <f t="shared" si="45"/>
        <v>0</v>
      </c>
      <c r="O63" s="134">
        <f t="shared" si="46"/>
        <v>0</v>
      </c>
      <c r="P63" s="178"/>
      <c r="Q63" s="157">
        <f t="shared" si="47"/>
        <v>0</v>
      </c>
      <c r="R63" s="134">
        <f t="shared" si="48"/>
        <v>0</v>
      </c>
      <c r="S63" s="178"/>
      <c r="T63" s="157">
        <f t="shared" si="49"/>
        <v>0</v>
      </c>
      <c r="U63" s="134">
        <f t="shared" si="50"/>
        <v>0</v>
      </c>
    </row>
    <row r="64" spans="1:21" ht="22" x14ac:dyDescent="0.35">
      <c r="A64" s="136">
        <v>7</v>
      </c>
      <c r="B64" s="180">
        <f t="shared" si="38"/>
        <v>651201107</v>
      </c>
      <c r="C64" s="184" t="str">
        <f t="shared" si="38"/>
        <v>นางสาวเกวลิน เวฬุวนารักษ์</v>
      </c>
      <c r="D64" s="178"/>
      <c r="E64" s="157">
        <f t="shared" si="39"/>
        <v>0</v>
      </c>
      <c r="F64" s="134">
        <f t="shared" si="40"/>
        <v>0</v>
      </c>
      <c r="G64" s="178"/>
      <c r="H64" s="157">
        <f t="shared" si="41"/>
        <v>0</v>
      </c>
      <c r="I64" s="134">
        <f t="shared" si="42"/>
        <v>0</v>
      </c>
      <c r="J64" s="178"/>
      <c r="K64" s="157">
        <f t="shared" si="43"/>
        <v>0</v>
      </c>
      <c r="L64" s="134">
        <f t="shared" si="44"/>
        <v>0</v>
      </c>
      <c r="M64" s="178"/>
      <c r="N64" s="157">
        <f t="shared" si="45"/>
        <v>0</v>
      </c>
      <c r="O64" s="134">
        <f t="shared" si="46"/>
        <v>0</v>
      </c>
      <c r="P64" s="178"/>
      <c r="Q64" s="157">
        <f t="shared" si="47"/>
        <v>0</v>
      </c>
      <c r="R64" s="134">
        <f t="shared" si="48"/>
        <v>0</v>
      </c>
      <c r="S64" s="178"/>
      <c r="T64" s="157">
        <f t="shared" si="49"/>
        <v>0</v>
      </c>
      <c r="U64" s="134">
        <f t="shared" si="50"/>
        <v>0</v>
      </c>
    </row>
    <row r="65" spans="1:21" ht="22" x14ac:dyDescent="0.35">
      <c r="A65" s="136">
        <v>8</v>
      </c>
      <c r="B65" s="180">
        <f t="shared" si="38"/>
        <v>651201108</v>
      </c>
      <c r="C65" s="184" t="str">
        <f t="shared" si="38"/>
        <v>นางสาวเกศรินทร์ ขอพลกลาง</v>
      </c>
      <c r="D65" s="178"/>
      <c r="E65" s="157">
        <f t="shared" si="39"/>
        <v>0</v>
      </c>
      <c r="F65" s="134">
        <f t="shared" si="40"/>
        <v>0</v>
      </c>
      <c r="G65" s="178"/>
      <c r="H65" s="157">
        <f t="shared" si="41"/>
        <v>0</v>
      </c>
      <c r="I65" s="134">
        <f t="shared" si="42"/>
        <v>0</v>
      </c>
      <c r="J65" s="178"/>
      <c r="K65" s="157">
        <f t="shared" si="43"/>
        <v>0</v>
      </c>
      <c r="L65" s="134">
        <f t="shared" si="44"/>
        <v>0</v>
      </c>
      <c r="M65" s="178"/>
      <c r="N65" s="157">
        <f t="shared" si="45"/>
        <v>0</v>
      </c>
      <c r="O65" s="134">
        <f t="shared" si="46"/>
        <v>0</v>
      </c>
      <c r="P65" s="178"/>
      <c r="Q65" s="157">
        <f t="shared" si="47"/>
        <v>0</v>
      </c>
      <c r="R65" s="134">
        <f t="shared" si="48"/>
        <v>0</v>
      </c>
      <c r="S65" s="178"/>
      <c r="T65" s="157">
        <f t="shared" si="49"/>
        <v>0</v>
      </c>
      <c r="U65" s="134">
        <f t="shared" si="50"/>
        <v>0</v>
      </c>
    </row>
    <row r="66" spans="1:21" x14ac:dyDescent="0.35">
      <c r="A66" s="136">
        <v>9</v>
      </c>
      <c r="B66" s="180">
        <f t="shared" si="38"/>
        <v>0</v>
      </c>
      <c r="C66" s="184">
        <f t="shared" si="38"/>
        <v>0</v>
      </c>
      <c r="D66" s="178"/>
      <c r="E66" s="157">
        <f t="shared" si="39"/>
        <v>0</v>
      </c>
      <c r="F66" s="134">
        <f t="shared" si="40"/>
        <v>0</v>
      </c>
      <c r="G66" s="178"/>
      <c r="H66" s="157">
        <f t="shared" si="41"/>
        <v>0</v>
      </c>
      <c r="I66" s="134">
        <f t="shared" si="42"/>
        <v>0</v>
      </c>
      <c r="J66" s="178"/>
      <c r="K66" s="157">
        <f t="shared" si="43"/>
        <v>0</v>
      </c>
      <c r="L66" s="134">
        <f t="shared" si="44"/>
        <v>0</v>
      </c>
      <c r="M66" s="178"/>
      <c r="N66" s="157">
        <f t="shared" si="45"/>
        <v>0</v>
      </c>
      <c r="O66" s="134">
        <f t="shared" si="46"/>
        <v>0</v>
      </c>
      <c r="P66" s="178"/>
      <c r="Q66" s="157">
        <f t="shared" si="47"/>
        <v>0</v>
      </c>
      <c r="R66" s="134">
        <f t="shared" si="48"/>
        <v>0</v>
      </c>
      <c r="S66" s="178"/>
      <c r="T66" s="157">
        <f t="shared" si="49"/>
        <v>0</v>
      </c>
      <c r="U66" s="134">
        <f t="shared" si="50"/>
        <v>0</v>
      </c>
    </row>
    <row r="67" spans="1:21" x14ac:dyDescent="0.35">
      <c r="A67" s="136">
        <v>10</v>
      </c>
      <c r="B67" s="180">
        <f t="shared" si="38"/>
        <v>0</v>
      </c>
      <c r="C67" s="184">
        <f t="shared" si="38"/>
        <v>0</v>
      </c>
      <c r="D67" s="178"/>
      <c r="E67" s="157">
        <f t="shared" si="39"/>
        <v>0</v>
      </c>
      <c r="F67" s="134">
        <f t="shared" si="40"/>
        <v>0</v>
      </c>
      <c r="G67" s="178"/>
      <c r="H67" s="157">
        <f t="shared" si="41"/>
        <v>0</v>
      </c>
      <c r="I67" s="134">
        <f t="shared" si="42"/>
        <v>0</v>
      </c>
      <c r="J67" s="178"/>
      <c r="K67" s="157">
        <f t="shared" si="43"/>
        <v>0</v>
      </c>
      <c r="L67" s="134">
        <f t="shared" si="44"/>
        <v>0</v>
      </c>
      <c r="M67" s="178"/>
      <c r="N67" s="157">
        <f t="shared" si="45"/>
        <v>0</v>
      </c>
      <c r="O67" s="134">
        <f t="shared" si="46"/>
        <v>0</v>
      </c>
      <c r="P67" s="178"/>
      <c r="Q67" s="157">
        <f t="shared" si="47"/>
        <v>0</v>
      </c>
      <c r="R67" s="134">
        <f t="shared" si="48"/>
        <v>0</v>
      </c>
      <c r="S67" s="178"/>
      <c r="T67" s="157">
        <f t="shared" si="49"/>
        <v>0</v>
      </c>
      <c r="U67" s="134">
        <f t="shared" si="50"/>
        <v>0</v>
      </c>
    </row>
    <row r="68" spans="1:21" x14ac:dyDescent="0.35">
      <c r="C68" s="141" t="s">
        <v>13</v>
      </c>
      <c r="D68" s="145" t="e">
        <f>AVERAGE($D$58:$D$67)</f>
        <v>#DIV/0!</v>
      </c>
      <c r="G68" s="145" t="e">
        <f>AVERAGE($G$58:$G$67)</f>
        <v>#DIV/0!</v>
      </c>
      <c r="J68" s="145" t="e">
        <f>AVERAGE($J$58:$J$67)</f>
        <v>#DIV/0!</v>
      </c>
      <c r="M68" s="145" t="e">
        <f>AVERAGE($M$58:$M$67)</f>
        <v>#DIV/0!</v>
      </c>
      <c r="P68" s="145" t="e">
        <f>AVERAGE($P$58:$P$67)</f>
        <v>#DIV/0!</v>
      </c>
      <c r="S68" s="145" t="e">
        <f>AVERAGE($S$58:$S$67)</f>
        <v>#DIV/0!</v>
      </c>
    </row>
    <row r="69" spans="1:21" x14ac:dyDescent="0.35">
      <c r="C69" s="141" t="s">
        <v>14</v>
      </c>
      <c r="D69" s="145" t="e">
        <f>STDEV($D$58:$D$67)</f>
        <v>#DIV/0!</v>
      </c>
      <c r="F69" s="168"/>
      <c r="G69" s="145" t="e">
        <f>STDEV($G$58:$G$67)</f>
        <v>#DIV/0!</v>
      </c>
      <c r="J69" s="145" t="e">
        <f>STDEV($J$58:$J$67)</f>
        <v>#DIV/0!</v>
      </c>
      <c r="M69" s="145" t="e">
        <f>STDEV($M$41:$M$50)</f>
        <v>#DIV/0!</v>
      </c>
      <c r="O69" s="168"/>
      <c r="P69" s="145" t="e">
        <f>STDEV($P$58:$P$67)</f>
        <v>#DIV/0!</v>
      </c>
      <c r="R69" s="168"/>
      <c r="S69" s="145" t="e">
        <f>STDEV($S$58:$S$67)</f>
        <v>#DIV/0!</v>
      </c>
    </row>
    <row r="70" spans="1:21" x14ac:dyDescent="0.35">
      <c r="C70" s="141"/>
      <c r="D70" s="145"/>
      <c r="F70" s="168"/>
      <c r="G70" s="145"/>
      <c r="J70" s="145"/>
      <c r="L70" s="168"/>
      <c r="M70" s="145"/>
    </row>
    <row r="71" spans="1:21" x14ac:dyDescent="0.35">
      <c r="C71" s="141"/>
      <c r="D71" s="145"/>
      <c r="F71" s="168"/>
      <c r="G71" s="145"/>
      <c r="J71" s="145"/>
      <c r="L71" s="168"/>
      <c r="M71" s="145"/>
    </row>
    <row r="72" spans="1:21" x14ac:dyDescent="0.35">
      <c r="A72" s="222" t="s">
        <v>5</v>
      </c>
      <c r="B72" s="222" t="s">
        <v>12</v>
      </c>
      <c r="C72" s="222" t="s">
        <v>0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42"/>
      <c r="T72" s="243"/>
      <c r="U72" s="244"/>
    </row>
    <row r="73" spans="1:21" x14ac:dyDescent="0.35">
      <c r="A73" s="222"/>
      <c r="B73" s="222"/>
      <c r="C73" s="222"/>
      <c r="D73" s="139" t="s">
        <v>17</v>
      </c>
      <c r="E73" s="139" t="s">
        <v>6</v>
      </c>
      <c r="F73" s="139" t="s">
        <v>3</v>
      </c>
      <c r="G73" s="139" t="s">
        <v>17</v>
      </c>
      <c r="H73" s="139" t="s">
        <v>6</v>
      </c>
      <c r="I73" s="139" t="s">
        <v>3</v>
      </c>
      <c r="J73" s="139" t="s">
        <v>17</v>
      </c>
      <c r="K73" s="139" t="s">
        <v>6</v>
      </c>
      <c r="L73" s="139" t="s">
        <v>3</v>
      </c>
      <c r="M73" s="139" t="s">
        <v>17</v>
      </c>
      <c r="N73" s="139" t="s">
        <v>6</v>
      </c>
      <c r="O73" s="139" t="s">
        <v>3</v>
      </c>
      <c r="P73" s="139" t="s">
        <v>17</v>
      </c>
      <c r="Q73" s="139" t="s">
        <v>6</v>
      </c>
      <c r="R73" s="139" t="s">
        <v>3</v>
      </c>
      <c r="S73" s="139" t="s">
        <v>17</v>
      </c>
      <c r="T73" s="139" t="s">
        <v>6</v>
      </c>
      <c r="U73" s="139" t="s">
        <v>3</v>
      </c>
    </row>
    <row r="74" spans="1:21" x14ac:dyDescent="0.35">
      <c r="A74" s="222"/>
      <c r="B74" s="222"/>
      <c r="C74" s="222"/>
      <c r="D74" s="183"/>
      <c r="E74" s="183"/>
      <c r="F74" s="181">
        <f>$E$74/10</f>
        <v>0</v>
      </c>
      <c r="G74" s="183"/>
      <c r="H74" s="183"/>
      <c r="I74" s="181">
        <f>$H$74/10</f>
        <v>0</v>
      </c>
      <c r="J74" s="183"/>
      <c r="K74" s="183"/>
      <c r="L74" s="181">
        <f>$K$74/10</f>
        <v>0</v>
      </c>
      <c r="M74" s="183"/>
      <c r="N74" s="183"/>
      <c r="O74" s="181">
        <f>$N$74/10</f>
        <v>0</v>
      </c>
      <c r="P74" s="182"/>
      <c r="Q74" s="182"/>
      <c r="R74" s="181">
        <f>$Q$74/10</f>
        <v>0</v>
      </c>
      <c r="S74" s="182"/>
      <c r="T74" s="182"/>
      <c r="U74" s="181">
        <f>$T$74/10</f>
        <v>0</v>
      </c>
    </row>
    <row r="75" spans="1:21" ht="22" x14ac:dyDescent="0.35">
      <c r="A75" s="136">
        <f t="shared" ref="A75:C84" si="51">A8</f>
        <v>1</v>
      </c>
      <c r="B75" s="180">
        <f t="shared" si="51"/>
        <v>651201101</v>
      </c>
      <c r="C75" s="179" t="str">
        <f t="shared" si="51"/>
        <v>นางสาวกนกทิพย์ สีกวาง</v>
      </c>
      <c r="D75" s="178"/>
      <c r="E75" s="157">
        <f t="shared" ref="E75:E84" si="52">IF(D75="-","-",IF(D75=0,0,(D75*E$74)/D$74))</f>
        <v>0</v>
      </c>
      <c r="F75" s="134">
        <f t="shared" ref="F75:F84" si="53">IF(D75="-","-",IF(D75=0,0,IF(D$86=0,50,(50+(10*(STANDARDIZE(D75,D$85,D$86)))))*F$74))</f>
        <v>0</v>
      </c>
      <c r="G75" s="178"/>
      <c r="H75" s="157">
        <f t="shared" ref="H75:H84" si="54">IF(G75="-","-",IF(G75=0,0,(G75*H$74)/G$74))</f>
        <v>0</v>
      </c>
      <c r="I75" s="134">
        <f t="shared" ref="I75:I84" si="55">IF(G75="-","-",IF(G75=0,0,IF($G$86=0,50,(50+(10*(STANDARDIZE(G75,G$85,G$86)))))*I$74))</f>
        <v>0</v>
      </c>
      <c r="J75" s="178"/>
      <c r="K75" s="157">
        <f t="shared" ref="K75:K84" si="56">IF(J75="-","-",IF(J75=0,0,(J75*K$74)/J$74))</f>
        <v>0</v>
      </c>
      <c r="L75" s="134">
        <f t="shared" ref="L75:L84" si="57">IF(J75="-","-",IF(J75=0,0,IF(J$86=0,50,(50+(10*(STANDARDIZE(J75,J$85,J$86)))))*L$74))</f>
        <v>0</v>
      </c>
      <c r="M75" s="178"/>
      <c r="N75" s="157">
        <f t="shared" ref="N75:N84" si="58">IF(M75="-","-",IF(M75=0,0,(M75*N$74)/M$74))</f>
        <v>0</v>
      </c>
      <c r="O75" s="134">
        <f t="shared" ref="O75:O84" si="59">IF(M75="-","-",IF(M75=0,0,IF(M$86=0,50,(50+(10*(STANDARDIZE(M75,M$85,M$86)))))*O$74))</f>
        <v>0</v>
      </c>
      <c r="P75" s="178"/>
      <c r="Q75" s="157">
        <f t="shared" ref="Q75:Q84" si="60">IF(P75="-","-",IF(P75=0,0,(P75*Q$74)/P$74))</f>
        <v>0</v>
      </c>
      <c r="R75" s="134">
        <f t="shared" ref="R75:R84" si="61">IF(P75="-","-",IF(P75=0,0,IF(P$86=0,50,(50+(10*(STANDARDIZE(P75,P$85,P$86)))))*R$74))</f>
        <v>0</v>
      </c>
      <c r="S75" s="178"/>
      <c r="T75" s="157">
        <f t="shared" ref="T75:T84" si="62">IF(S75="-","-",IF(S75=0,0,(S75*T$74)/S$74))</f>
        <v>0</v>
      </c>
      <c r="U75" s="134">
        <f t="shared" ref="U75:U84" si="63">IF(S75="-","-",IF(S75=0,0,IF(S$86=0,50,(50+(10*(STANDARDIZE(S75,S$85,S$86)))))*U$74))</f>
        <v>0</v>
      </c>
    </row>
    <row r="76" spans="1:21" ht="22" x14ac:dyDescent="0.35">
      <c r="A76" s="136">
        <f t="shared" si="51"/>
        <v>2</v>
      </c>
      <c r="B76" s="180">
        <f t="shared" si="51"/>
        <v>651201102</v>
      </c>
      <c r="C76" s="179" t="str">
        <f t="shared" si="51"/>
        <v>นายกมลภพ หนูพันธ์</v>
      </c>
      <c r="D76" s="178"/>
      <c r="E76" s="157">
        <f t="shared" si="52"/>
        <v>0</v>
      </c>
      <c r="F76" s="134">
        <f t="shared" si="53"/>
        <v>0</v>
      </c>
      <c r="G76" s="178"/>
      <c r="H76" s="157">
        <f t="shared" si="54"/>
        <v>0</v>
      </c>
      <c r="I76" s="134">
        <f t="shared" si="55"/>
        <v>0</v>
      </c>
      <c r="J76" s="178"/>
      <c r="K76" s="157">
        <f t="shared" si="56"/>
        <v>0</v>
      </c>
      <c r="L76" s="134">
        <f t="shared" si="57"/>
        <v>0</v>
      </c>
      <c r="M76" s="178"/>
      <c r="N76" s="157">
        <f t="shared" si="58"/>
        <v>0</v>
      </c>
      <c r="O76" s="134">
        <f t="shared" si="59"/>
        <v>0</v>
      </c>
      <c r="P76" s="178"/>
      <c r="Q76" s="157">
        <f t="shared" si="60"/>
        <v>0</v>
      </c>
      <c r="R76" s="134">
        <f t="shared" si="61"/>
        <v>0</v>
      </c>
      <c r="S76" s="178"/>
      <c r="T76" s="157">
        <f t="shared" si="62"/>
        <v>0</v>
      </c>
      <c r="U76" s="134">
        <f t="shared" si="63"/>
        <v>0</v>
      </c>
    </row>
    <row r="77" spans="1:21" ht="22" x14ac:dyDescent="0.35">
      <c r="A77" s="136">
        <f t="shared" si="51"/>
        <v>3</v>
      </c>
      <c r="B77" s="180">
        <f t="shared" si="51"/>
        <v>651201103</v>
      </c>
      <c r="C77" s="179" t="str">
        <f t="shared" si="51"/>
        <v>นางสาวกรณ์วิภา เครือภักดี</v>
      </c>
      <c r="D77" s="178"/>
      <c r="E77" s="157">
        <f t="shared" si="52"/>
        <v>0</v>
      </c>
      <c r="F77" s="134">
        <f t="shared" si="53"/>
        <v>0</v>
      </c>
      <c r="G77" s="178"/>
      <c r="H77" s="157">
        <f t="shared" si="54"/>
        <v>0</v>
      </c>
      <c r="I77" s="134">
        <f t="shared" si="55"/>
        <v>0</v>
      </c>
      <c r="J77" s="178"/>
      <c r="K77" s="157">
        <f t="shared" si="56"/>
        <v>0</v>
      </c>
      <c r="L77" s="134">
        <f t="shared" si="57"/>
        <v>0</v>
      </c>
      <c r="M77" s="178"/>
      <c r="N77" s="157">
        <f t="shared" si="58"/>
        <v>0</v>
      </c>
      <c r="O77" s="134">
        <f t="shared" si="59"/>
        <v>0</v>
      </c>
      <c r="P77" s="178"/>
      <c r="Q77" s="157">
        <f t="shared" si="60"/>
        <v>0</v>
      </c>
      <c r="R77" s="134">
        <f t="shared" si="61"/>
        <v>0</v>
      </c>
      <c r="S77" s="178"/>
      <c r="T77" s="157">
        <f t="shared" si="62"/>
        <v>0</v>
      </c>
      <c r="U77" s="134">
        <f t="shared" si="63"/>
        <v>0</v>
      </c>
    </row>
    <row r="78" spans="1:21" ht="22" x14ac:dyDescent="0.35">
      <c r="A78" s="136">
        <f t="shared" si="51"/>
        <v>4</v>
      </c>
      <c r="B78" s="180">
        <f t="shared" si="51"/>
        <v>651201104</v>
      </c>
      <c r="C78" s="179" t="str">
        <f t="shared" si="51"/>
        <v>นางสาวกัลญารัตน์ พิมพานิช</v>
      </c>
      <c r="D78" s="178"/>
      <c r="E78" s="157">
        <f t="shared" si="52"/>
        <v>0</v>
      </c>
      <c r="F78" s="134">
        <f t="shared" si="53"/>
        <v>0</v>
      </c>
      <c r="G78" s="178"/>
      <c r="H78" s="157">
        <f t="shared" si="54"/>
        <v>0</v>
      </c>
      <c r="I78" s="134">
        <f t="shared" si="55"/>
        <v>0</v>
      </c>
      <c r="J78" s="178"/>
      <c r="K78" s="157">
        <f t="shared" si="56"/>
        <v>0</v>
      </c>
      <c r="L78" s="134">
        <f t="shared" si="57"/>
        <v>0</v>
      </c>
      <c r="M78" s="178"/>
      <c r="N78" s="157">
        <f t="shared" si="58"/>
        <v>0</v>
      </c>
      <c r="O78" s="134">
        <f t="shared" si="59"/>
        <v>0</v>
      </c>
      <c r="P78" s="178"/>
      <c r="Q78" s="157">
        <f t="shared" si="60"/>
        <v>0</v>
      </c>
      <c r="R78" s="134">
        <f t="shared" si="61"/>
        <v>0</v>
      </c>
      <c r="S78" s="178"/>
      <c r="T78" s="157">
        <f t="shared" si="62"/>
        <v>0</v>
      </c>
      <c r="U78" s="134">
        <f t="shared" si="63"/>
        <v>0</v>
      </c>
    </row>
    <row r="79" spans="1:21" ht="22" x14ac:dyDescent="0.35">
      <c r="A79" s="136">
        <f t="shared" si="51"/>
        <v>5</v>
      </c>
      <c r="B79" s="180">
        <f t="shared" si="51"/>
        <v>651201105</v>
      </c>
      <c r="C79" s="179" t="str">
        <f t="shared" si="51"/>
        <v>นางสาวกิตติยาภรณ์ วาสุชาติ</v>
      </c>
      <c r="D79" s="178"/>
      <c r="E79" s="157">
        <f t="shared" si="52"/>
        <v>0</v>
      </c>
      <c r="F79" s="134">
        <f t="shared" si="53"/>
        <v>0</v>
      </c>
      <c r="G79" s="178"/>
      <c r="H79" s="157">
        <f t="shared" si="54"/>
        <v>0</v>
      </c>
      <c r="I79" s="134">
        <f t="shared" si="55"/>
        <v>0</v>
      </c>
      <c r="J79" s="178"/>
      <c r="K79" s="157">
        <f t="shared" si="56"/>
        <v>0</v>
      </c>
      <c r="L79" s="134">
        <f t="shared" si="57"/>
        <v>0</v>
      </c>
      <c r="M79" s="178"/>
      <c r="N79" s="157">
        <f t="shared" si="58"/>
        <v>0</v>
      </c>
      <c r="O79" s="134">
        <f t="shared" si="59"/>
        <v>0</v>
      </c>
      <c r="P79" s="178"/>
      <c r="Q79" s="157">
        <f t="shared" si="60"/>
        <v>0</v>
      </c>
      <c r="R79" s="134">
        <f t="shared" si="61"/>
        <v>0</v>
      </c>
      <c r="S79" s="178"/>
      <c r="T79" s="157">
        <f t="shared" si="62"/>
        <v>0</v>
      </c>
      <c r="U79" s="134">
        <f t="shared" si="63"/>
        <v>0</v>
      </c>
    </row>
    <row r="80" spans="1:21" ht="22" x14ac:dyDescent="0.35">
      <c r="A80" s="136">
        <f t="shared" si="51"/>
        <v>6</v>
      </c>
      <c r="B80" s="180">
        <f t="shared" si="51"/>
        <v>651201106</v>
      </c>
      <c r="C80" s="179" t="str">
        <f t="shared" si="51"/>
        <v>นายกิตติศักดิ์ ประทุม</v>
      </c>
      <c r="D80" s="178"/>
      <c r="E80" s="157">
        <f t="shared" si="52"/>
        <v>0</v>
      </c>
      <c r="F80" s="134">
        <f t="shared" si="53"/>
        <v>0</v>
      </c>
      <c r="G80" s="178"/>
      <c r="H80" s="157">
        <f t="shared" si="54"/>
        <v>0</v>
      </c>
      <c r="I80" s="134">
        <f t="shared" si="55"/>
        <v>0</v>
      </c>
      <c r="J80" s="178"/>
      <c r="K80" s="157">
        <f t="shared" si="56"/>
        <v>0</v>
      </c>
      <c r="L80" s="134">
        <f t="shared" si="57"/>
        <v>0</v>
      </c>
      <c r="M80" s="178"/>
      <c r="N80" s="157">
        <f t="shared" si="58"/>
        <v>0</v>
      </c>
      <c r="O80" s="134">
        <f t="shared" si="59"/>
        <v>0</v>
      </c>
      <c r="P80" s="178"/>
      <c r="Q80" s="157">
        <f t="shared" si="60"/>
        <v>0</v>
      </c>
      <c r="R80" s="134">
        <f t="shared" si="61"/>
        <v>0</v>
      </c>
      <c r="S80" s="178"/>
      <c r="T80" s="157">
        <f t="shared" si="62"/>
        <v>0</v>
      </c>
      <c r="U80" s="134">
        <f t="shared" si="63"/>
        <v>0</v>
      </c>
    </row>
    <row r="81" spans="1:21" ht="22" x14ac:dyDescent="0.35">
      <c r="A81" s="136">
        <f t="shared" si="51"/>
        <v>7</v>
      </c>
      <c r="B81" s="180">
        <f t="shared" si="51"/>
        <v>651201107</v>
      </c>
      <c r="C81" s="179" t="str">
        <f t="shared" si="51"/>
        <v>นางสาวเกวลิน เวฬุวนารักษ์</v>
      </c>
      <c r="D81" s="178"/>
      <c r="E81" s="157">
        <f t="shared" si="52"/>
        <v>0</v>
      </c>
      <c r="F81" s="134">
        <f t="shared" si="53"/>
        <v>0</v>
      </c>
      <c r="G81" s="178"/>
      <c r="H81" s="157">
        <f t="shared" si="54"/>
        <v>0</v>
      </c>
      <c r="I81" s="134">
        <f t="shared" si="55"/>
        <v>0</v>
      </c>
      <c r="J81" s="178"/>
      <c r="K81" s="157">
        <f t="shared" si="56"/>
        <v>0</v>
      </c>
      <c r="L81" s="134">
        <f t="shared" si="57"/>
        <v>0</v>
      </c>
      <c r="M81" s="178"/>
      <c r="N81" s="157">
        <f t="shared" si="58"/>
        <v>0</v>
      </c>
      <c r="O81" s="134">
        <f t="shared" si="59"/>
        <v>0</v>
      </c>
      <c r="P81" s="178"/>
      <c r="Q81" s="157">
        <f t="shared" si="60"/>
        <v>0</v>
      </c>
      <c r="R81" s="134">
        <f t="shared" si="61"/>
        <v>0</v>
      </c>
      <c r="S81" s="178"/>
      <c r="T81" s="157">
        <f t="shared" si="62"/>
        <v>0</v>
      </c>
      <c r="U81" s="134">
        <f t="shared" si="63"/>
        <v>0</v>
      </c>
    </row>
    <row r="82" spans="1:21" ht="22" x14ac:dyDescent="0.35">
      <c r="A82" s="136">
        <f t="shared" si="51"/>
        <v>8</v>
      </c>
      <c r="B82" s="180">
        <f t="shared" si="51"/>
        <v>651201108</v>
      </c>
      <c r="C82" s="179" t="str">
        <f t="shared" si="51"/>
        <v>นางสาวเกศรินทร์ ขอพลกลาง</v>
      </c>
      <c r="D82" s="178"/>
      <c r="E82" s="157">
        <f t="shared" si="52"/>
        <v>0</v>
      </c>
      <c r="F82" s="134">
        <f t="shared" si="53"/>
        <v>0</v>
      </c>
      <c r="G82" s="178"/>
      <c r="H82" s="157">
        <f t="shared" si="54"/>
        <v>0</v>
      </c>
      <c r="I82" s="134">
        <f t="shared" si="55"/>
        <v>0</v>
      </c>
      <c r="J82" s="178"/>
      <c r="K82" s="157">
        <f t="shared" si="56"/>
        <v>0</v>
      </c>
      <c r="L82" s="134">
        <f t="shared" si="57"/>
        <v>0</v>
      </c>
      <c r="M82" s="178"/>
      <c r="N82" s="157">
        <f t="shared" si="58"/>
        <v>0</v>
      </c>
      <c r="O82" s="134">
        <f t="shared" si="59"/>
        <v>0</v>
      </c>
      <c r="P82" s="178"/>
      <c r="Q82" s="157">
        <f t="shared" si="60"/>
        <v>0</v>
      </c>
      <c r="R82" s="134">
        <f t="shared" si="61"/>
        <v>0</v>
      </c>
      <c r="S82" s="178"/>
      <c r="T82" s="157">
        <f t="shared" si="62"/>
        <v>0</v>
      </c>
      <c r="U82" s="134">
        <f t="shared" si="63"/>
        <v>0</v>
      </c>
    </row>
    <row r="83" spans="1:21" x14ac:dyDescent="0.35">
      <c r="A83" s="136">
        <f t="shared" si="51"/>
        <v>9</v>
      </c>
      <c r="B83" s="180">
        <f t="shared" si="51"/>
        <v>0</v>
      </c>
      <c r="C83" s="179">
        <f t="shared" si="51"/>
        <v>0</v>
      </c>
      <c r="D83" s="178"/>
      <c r="E83" s="157">
        <f t="shared" si="52"/>
        <v>0</v>
      </c>
      <c r="F83" s="134">
        <f t="shared" si="53"/>
        <v>0</v>
      </c>
      <c r="G83" s="178"/>
      <c r="H83" s="157">
        <f t="shared" si="54"/>
        <v>0</v>
      </c>
      <c r="I83" s="134">
        <f t="shared" si="55"/>
        <v>0</v>
      </c>
      <c r="J83" s="178"/>
      <c r="K83" s="157">
        <f t="shared" si="56"/>
        <v>0</v>
      </c>
      <c r="L83" s="134">
        <f t="shared" si="57"/>
        <v>0</v>
      </c>
      <c r="M83" s="178"/>
      <c r="N83" s="157">
        <f t="shared" si="58"/>
        <v>0</v>
      </c>
      <c r="O83" s="134">
        <f t="shared" si="59"/>
        <v>0</v>
      </c>
      <c r="P83" s="178"/>
      <c r="Q83" s="157">
        <f t="shared" si="60"/>
        <v>0</v>
      </c>
      <c r="R83" s="134">
        <f t="shared" si="61"/>
        <v>0</v>
      </c>
      <c r="S83" s="178"/>
      <c r="T83" s="157">
        <f t="shared" si="62"/>
        <v>0</v>
      </c>
      <c r="U83" s="134">
        <f t="shared" si="63"/>
        <v>0</v>
      </c>
    </row>
    <row r="84" spans="1:21" x14ac:dyDescent="0.35">
      <c r="A84" s="136">
        <f t="shared" si="51"/>
        <v>10</v>
      </c>
      <c r="B84" s="180">
        <f t="shared" si="51"/>
        <v>0</v>
      </c>
      <c r="C84" s="179">
        <f t="shared" si="51"/>
        <v>0</v>
      </c>
      <c r="D84" s="178"/>
      <c r="E84" s="157">
        <f t="shared" si="52"/>
        <v>0</v>
      </c>
      <c r="F84" s="134">
        <f t="shared" si="53"/>
        <v>0</v>
      </c>
      <c r="G84" s="178"/>
      <c r="H84" s="157">
        <f t="shared" si="54"/>
        <v>0</v>
      </c>
      <c r="I84" s="134">
        <f t="shared" si="55"/>
        <v>0</v>
      </c>
      <c r="J84" s="178"/>
      <c r="K84" s="157">
        <f t="shared" si="56"/>
        <v>0</v>
      </c>
      <c r="L84" s="134">
        <f t="shared" si="57"/>
        <v>0</v>
      </c>
      <c r="M84" s="178"/>
      <c r="N84" s="157">
        <f t="shared" si="58"/>
        <v>0</v>
      </c>
      <c r="O84" s="134">
        <f t="shared" si="59"/>
        <v>0</v>
      </c>
      <c r="P84" s="178"/>
      <c r="Q84" s="157">
        <f t="shared" si="60"/>
        <v>0</v>
      </c>
      <c r="R84" s="134">
        <f t="shared" si="61"/>
        <v>0</v>
      </c>
      <c r="S84" s="178"/>
      <c r="T84" s="157">
        <f t="shared" si="62"/>
        <v>0</v>
      </c>
      <c r="U84" s="134">
        <f t="shared" si="63"/>
        <v>0</v>
      </c>
    </row>
    <row r="85" spans="1:21" x14ac:dyDescent="0.35">
      <c r="C85" s="141" t="s">
        <v>13</v>
      </c>
      <c r="D85" s="145" t="e">
        <f>AVERAGE($D$75:$D$84)</f>
        <v>#DIV/0!</v>
      </c>
      <c r="G85" s="145" t="e">
        <f>AVERAGE($G$75:$G$84)</f>
        <v>#DIV/0!</v>
      </c>
      <c r="J85" s="145" t="e">
        <f>AVERAGE($J$75:$J$84)</f>
        <v>#DIV/0!</v>
      </c>
      <c r="M85" s="145" t="e">
        <f>AVERAGE($M$75:$M$84)</f>
        <v>#DIV/0!</v>
      </c>
      <c r="P85" s="145" t="e">
        <f>AVERAGE($P$75:$P$84)</f>
        <v>#DIV/0!</v>
      </c>
      <c r="S85" s="145" t="e">
        <f>AVERAGE($S$75:$S$84)</f>
        <v>#DIV/0!</v>
      </c>
    </row>
    <row r="86" spans="1:21" x14ac:dyDescent="0.35">
      <c r="C86" s="141" t="s">
        <v>14</v>
      </c>
      <c r="D86" s="145" t="e">
        <f>STDEV($D$75:$D$84)</f>
        <v>#DIV/0!</v>
      </c>
      <c r="F86" s="168"/>
      <c r="G86" s="145" t="e">
        <f>STDEV($G$75:$G$84)</f>
        <v>#DIV/0!</v>
      </c>
      <c r="J86" s="145" t="e">
        <f>STDEV(J75:J84)</f>
        <v>#DIV/0!</v>
      </c>
      <c r="L86" s="168"/>
      <c r="M86" s="145" t="e">
        <f>STDEV($M$75:$M$84)</f>
        <v>#DIV/0!</v>
      </c>
      <c r="P86" s="145" t="e">
        <f>STDEV(P75:P84)</f>
        <v>#DIV/0!</v>
      </c>
      <c r="S86" s="145" t="e">
        <f>STDEV($S$75:$S$84)</f>
        <v>#DIV/0!</v>
      </c>
    </row>
    <row r="87" spans="1:21" x14ac:dyDescent="0.35">
      <c r="C87" s="141"/>
      <c r="D87" s="145"/>
      <c r="F87" s="168"/>
      <c r="G87" s="145"/>
      <c r="J87" s="145"/>
      <c r="L87" s="168"/>
      <c r="M87" s="145"/>
      <c r="P87" s="131" t="s">
        <v>2</v>
      </c>
    </row>
    <row r="88" spans="1:21" x14ac:dyDescent="0.35">
      <c r="C88" s="141"/>
      <c r="D88" s="145"/>
      <c r="F88" s="168"/>
      <c r="G88" s="145"/>
      <c r="J88" s="145"/>
      <c r="L88" s="168"/>
      <c r="M88" s="145"/>
    </row>
    <row r="89" spans="1:21" x14ac:dyDescent="0.35">
      <c r="B89" s="170" t="s">
        <v>148</v>
      </c>
      <c r="C89" s="141"/>
      <c r="D89" s="145"/>
      <c r="F89" s="168"/>
      <c r="G89" s="145"/>
      <c r="J89" s="145"/>
      <c r="L89" s="168"/>
      <c r="M89" s="145"/>
      <c r="P89" s="145"/>
    </row>
    <row r="90" spans="1:21" x14ac:dyDescent="0.35">
      <c r="C90" s="141"/>
      <c r="D90" s="145"/>
      <c r="F90" s="168"/>
      <c r="G90" s="145"/>
    </row>
    <row r="91" spans="1:21" x14ac:dyDescent="0.35">
      <c r="A91" s="224" t="s">
        <v>76</v>
      </c>
      <c r="B91" s="224" t="s">
        <v>12</v>
      </c>
      <c r="C91" s="224" t="s">
        <v>0</v>
      </c>
      <c r="D91" s="225" t="s">
        <v>1</v>
      </c>
      <c r="E91" s="225"/>
      <c r="F91" s="225"/>
      <c r="G91" s="225"/>
      <c r="H91" s="172"/>
      <c r="I91" s="140" t="s">
        <v>4</v>
      </c>
      <c r="J91" s="140" t="s">
        <v>139</v>
      </c>
      <c r="K91" s="133" t="s">
        <v>146</v>
      </c>
      <c r="N91" s="168"/>
      <c r="O91" s="168"/>
      <c r="P91" s="225" t="s">
        <v>144</v>
      </c>
      <c r="Q91" s="225"/>
      <c r="R91" s="140" t="s">
        <v>141</v>
      </c>
      <c r="S91" s="140" t="s">
        <v>142</v>
      </c>
      <c r="T91" s="140" t="s">
        <v>4</v>
      </c>
    </row>
    <row r="92" spans="1:21" x14ac:dyDescent="0.35">
      <c r="A92" s="224"/>
      <c r="B92" s="224"/>
      <c r="C92" s="224"/>
      <c r="D92" s="138" t="str">
        <f>SUM(E7,H7,K7,N7,Q7,T7,E23,H23,K23,N23,Q23,T23,E40,H40,K40,N40,Q40,T40,E57,H57,K57,N57,Q57,T57,E74,H74,K74,N74,Q74,T74)&amp;"%"</f>
        <v>100%</v>
      </c>
      <c r="E92" s="138" t="str">
        <f>SUM(F7,I7,L7,O7,R7,U7,F23,I23,L23,O23,R23,U23,F40,I40,L40,O40,R40,U40,F57,I57,L57,O57,R57,U57,F74,I74,L74,O74,R74,U74)&amp;"T"</f>
        <v>10.5T</v>
      </c>
      <c r="F92" s="226" t="s">
        <v>143</v>
      </c>
      <c r="G92" s="226"/>
      <c r="H92" s="172"/>
      <c r="I92" s="175" t="s">
        <v>8</v>
      </c>
      <c r="J92" s="175">
        <f t="shared" ref="J92:J100" si="64">COUNTIF($F$93:$G$102,I92)</f>
        <v>4</v>
      </c>
      <c r="K92" s="133">
        <f t="shared" ref="K92:K101" si="65">ROUND((J92*100)/$J$101,2)</f>
        <v>50</v>
      </c>
      <c r="N92" s="168"/>
      <c r="O92" s="168"/>
      <c r="P92" s="229" t="s">
        <v>140</v>
      </c>
      <c r="Q92" s="229"/>
      <c r="R92" s="136">
        <v>85</v>
      </c>
      <c r="S92" s="136">
        <v>100</v>
      </c>
      <c r="T92" s="133" t="s">
        <v>8</v>
      </c>
    </row>
    <row r="93" spans="1:21" x14ac:dyDescent="0.35">
      <c r="A93" s="136">
        <f t="shared" ref="A93:C102" si="66">A8</f>
        <v>1</v>
      </c>
      <c r="B93" s="136">
        <f t="shared" si="66"/>
        <v>651201101</v>
      </c>
      <c r="C93" s="135" t="str">
        <f t="shared" si="66"/>
        <v>นางสาวกนกทิพย์ สีกวาง</v>
      </c>
      <c r="D93" s="134">
        <f t="shared" ref="D93:D101" si="67">ROUND(SUM(E8,H8,K8,N8,Q8,T8,E24,H24,K24,N24,Q24,T24,E41,H41,K41,N41,Q41,T41,E58,H58,K58,N58,Q58,T58,E75,H75,K75,N75,Q75,T75),2)</f>
        <v>84.97</v>
      </c>
      <c r="E93" s="157">
        <f t="shared" ref="E93:E101" si="68">ROUND(SUM(F8,I8,L8,O8,R8,U8,F24,I24,L24,O24,R24,U24,F41,I41,L41,O41,R41,U41,F58,I58,L58,O58,R58,U58,F75,I75,L75,O75,R75,U75),2)</f>
        <v>491.39</v>
      </c>
      <c r="F93" s="222" t="str">
        <f t="shared" ref="F93:F102" si="69">IF(D93=0,"-",IF(D93&gt;=$R$92,$T$92,IF(D93&gt;=$R$93,$T$93,IF(D93&gt;=$R$94,$T$94,IF(D93&gt;=$R$95,$T$95,IF(D93&gt;=$R$96,$T$96,$T$97))))))</f>
        <v>B+</v>
      </c>
      <c r="G93" s="222"/>
      <c r="H93" s="172"/>
      <c r="I93" s="177" t="s">
        <v>111</v>
      </c>
      <c r="J93" s="175">
        <f t="shared" si="64"/>
        <v>3</v>
      </c>
      <c r="K93" s="133">
        <f t="shared" si="65"/>
        <v>37.5</v>
      </c>
      <c r="N93" s="168"/>
      <c r="O93" s="168"/>
      <c r="P93" s="229" t="s">
        <v>140</v>
      </c>
      <c r="Q93" s="229"/>
      <c r="R93" s="136">
        <v>80</v>
      </c>
      <c r="S93" s="136">
        <v>84</v>
      </c>
      <c r="T93" s="133" t="s">
        <v>111</v>
      </c>
    </row>
    <row r="94" spans="1:21" x14ac:dyDescent="0.35">
      <c r="A94" s="136">
        <f t="shared" si="66"/>
        <v>2</v>
      </c>
      <c r="B94" s="136">
        <f t="shared" si="66"/>
        <v>651201102</v>
      </c>
      <c r="C94" s="135" t="str">
        <f t="shared" si="66"/>
        <v>นายกมลภพ หนูพันธ์</v>
      </c>
      <c r="D94" s="134">
        <f t="shared" si="67"/>
        <v>79.27</v>
      </c>
      <c r="E94" s="157">
        <f t="shared" si="68"/>
        <v>399.69</v>
      </c>
      <c r="F94" s="222" t="str">
        <f t="shared" si="69"/>
        <v>B</v>
      </c>
      <c r="G94" s="222"/>
      <c r="H94" s="172"/>
      <c r="I94" s="175" t="s">
        <v>110</v>
      </c>
      <c r="J94" s="175">
        <f t="shared" si="64"/>
        <v>1</v>
      </c>
      <c r="K94" s="133">
        <f t="shared" si="65"/>
        <v>12.5</v>
      </c>
      <c r="N94" s="168"/>
      <c r="O94" s="168"/>
      <c r="P94" s="229" t="s">
        <v>140</v>
      </c>
      <c r="Q94" s="229"/>
      <c r="R94" s="136">
        <v>75</v>
      </c>
      <c r="S94" s="136">
        <v>79</v>
      </c>
      <c r="T94" s="133" t="s">
        <v>110</v>
      </c>
    </row>
    <row r="95" spans="1:21" x14ac:dyDescent="0.35">
      <c r="A95" s="136">
        <f t="shared" si="66"/>
        <v>3</v>
      </c>
      <c r="B95" s="136">
        <f t="shared" si="66"/>
        <v>651201103</v>
      </c>
      <c r="C95" s="135" t="str">
        <f t="shared" si="66"/>
        <v>นางสาวกรณ์วิภา เครือภักดี</v>
      </c>
      <c r="D95" s="134">
        <f t="shared" si="67"/>
        <v>92.06</v>
      </c>
      <c r="E95" s="157">
        <f t="shared" si="68"/>
        <v>625.39</v>
      </c>
      <c r="F95" s="222" t="str">
        <f t="shared" si="69"/>
        <v>A</v>
      </c>
      <c r="G95" s="222"/>
      <c r="H95" s="172"/>
      <c r="I95" s="175" t="s">
        <v>131</v>
      </c>
      <c r="J95" s="175">
        <f t="shared" si="64"/>
        <v>0</v>
      </c>
      <c r="K95" s="133">
        <f t="shared" si="65"/>
        <v>0</v>
      </c>
      <c r="N95" s="168"/>
      <c r="O95" s="168"/>
      <c r="P95" s="229" t="s">
        <v>140</v>
      </c>
      <c r="Q95" s="229"/>
      <c r="R95" s="136">
        <v>70</v>
      </c>
      <c r="S95" s="136">
        <v>74</v>
      </c>
      <c r="T95" s="133" t="s">
        <v>131</v>
      </c>
    </row>
    <row r="96" spans="1:21" x14ac:dyDescent="0.35">
      <c r="A96" s="136">
        <f t="shared" si="66"/>
        <v>4</v>
      </c>
      <c r="B96" s="136">
        <f t="shared" si="66"/>
        <v>651201104</v>
      </c>
      <c r="C96" s="135" t="str">
        <f t="shared" si="66"/>
        <v>นางสาวกัลญารัตน์ พิมพานิช</v>
      </c>
      <c r="D96" s="134">
        <f t="shared" si="67"/>
        <v>92.56</v>
      </c>
      <c r="E96" s="157">
        <f t="shared" si="68"/>
        <v>635.48</v>
      </c>
      <c r="F96" s="222" t="str">
        <f t="shared" si="69"/>
        <v>A</v>
      </c>
      <c r="G96" s="222"/>
      <c r="H96" s="172"/>
      <c r="I96" s="175" t="s">
        <v>132</v>
      </c>
      <c r="J96" s="175">
        <f t="shared" si="64"/>
        <v>0</v>
      </c>
      <c r="K96" s="133">
        <f t="shared" si="65"/>
        <v>0</v>
      </c>
      <c r="N96" s="168"/>
      <c r="O96" s="168"/>
      <c r="P96" s="229" t="s">
        <v>140</v>
      </c>
      <c r="Q96" s="229"/>
      <c r="R96" s="136">
        <v>65</v>
      </c>
      <c r="S96" s="136">
        <v>69</v>
      </c>
      <c r="T96" s="133" t="s">
        <v>132</v>
      </c>
    </row>
    <row r="97" spans="1:20" x14ac:dyDescent="0.35">
      <c r="A97" s="136">
        <f t="shared" si="66"/>
        <v>5</v>
      </c>
      <c r="B97" s="136">
        <f t="shared" si="66"/>
        <v>651201105</v>
      </c>
      <c r="C97" s="135" t="str">
        <f t="shared" si="66"/>
        <v>นางสาวกิตติยาภรณ์ วาสุชาติ</v>
      </c>
      <c r="D97" s="134">
        <f t="shared" si="67"/>
        <v>81.349999999999994</v>
      </c>
      <c r="E97" s="157">
        <f t="shared" si="68"/>
        <v>437.57</v>
      </c>
      <c r="F97" s="222" t="str">
        <f t="shared" si="69"/>
        <v>B+</v>
      </c>
      <c r="G97" s="222"/>
      <c r="H97" s="172"/>
      <c r="I97" s="175" t="s">
        <v>133</v>
      </c>
      <c r="J97" s="175">
        <f t="shared" si="64"/>
        <v>0</v>
      </c>
      <c r="K97" s="133">
        <f t="shared" si="65"/>
        <v>0</v>
      </c>
      <c r="N97" s="168"/>
      <c r="O97" s="168"/>
      <c r="P97" s="229" t="s">
        <v>140</v>
      </c>
      <c r="Q97" s="229"/>
      <c r="R97" s="136">
        <v>0</v>
      </c>
      <c r="S97" s="136">
        <v>64</v>
      </c>
      <c r="T97" s="133" t="s">
        <v>135</v>
      </c>
    </row>
    <row r="98" spans="1:20" x14ac:dyDescent="0.35">
      <c r="A98" s="136">
        <f t="shared" si="66"/>
        <v>6</v>
      </c>
      <c r="B98" s="136">
        <f t="shared" si="66"/>
        <v>651201106</v>
      </c>
      <c r="C98" s="135" t="str">
        <f t="shared" si="66"/>
        <v>นายกิตติศักดิ์ ประทุม</v>
      </c>
      <c r="D98" s="134">
        <f t="shared" si="67"/>
        <v>86.22</v>
      </c>
      <c r="E98" s="157">
        <f t="shared" si="68"/>
        <v>520.42999999999995</v>
      </c>
      <c r="F98" s="222" t="str">
        <f t="shared" si="69"/>
        <v>A</v>
      </c>
      <c r="G98" s="222"/>
      <c r="H98" s="172"/>
      <c r="I98" s="176" t="s">
        <v>134</v>
      </c>
      <c r="J98" s="175">
        <f t="shared" si="64"/>
        <v>0</v>
      </c>
      <c r="K98" s="133">
        <f t="shared" si="65"/>
        <v>0</v>
      </c>
      <c r="L98" s="168"/>
      <c r="M98" s="168"/>
      <c r="N98" s="168"/>
      <c r="O98" s="168"/>
      <c r="P98" s="168"/>
      <c r="Q98" s="168"/>
      <c r="R98" s="168"/>
    </row>
    <row r="99" spans="1:20" x14ac:dyDescent="0.35">
      <c r="A99" s="136">
        <f t="shared" si="66"/>
        <v>7</v>
      </c>
      <c r="B99" s="136">
        <f t="shared" si="66"/>
        <v>651201107</v>
      </c>
      <c r="C99" s="135" t="str">
        <f t="shared" si="66"/>
        <v>นางสาวเกวลิน เวฬุวนารักษ์</v>
      </c>
      <c r="D99" s="134">
        <f t="shared" si="67"/>
        <v>92.31</v>
      </c>
      <c r="E99" s="157">
        <f t="shared" si="68"/>
        <v>618.98</v>
      </c>
      <c r="F99" s="222" t="str">
        <f t="shared" si="69"/>
        <v>A</v>
      </c>
      <c r="G99" s="222"/>
      <c r="H99" s="172"/>
      <c r="I99" s="176" t="s">
        <v>135</v>
      </c>
      <c r="J99" s="175">
        <f t="shared" si="64"/>
        <v>0</v>
      </c>
      <c r="K99" s="133">
        <f t="shared" si="65"/>
        <v>0</v>
      </c>
      <c r="L99" s="168"/>
      <c r="M99" s="168"/>
      <c r="N99" s="168"/>
      <c r="O99" s="168"/>
      <c r="P99" s="168"/>
      <c r="Q99" s="168"/>
      <c r="R99" s="168"/>
    </row>
    <row r="100" spans="1:20" x14ac:dyDescent="0.35">
      <c r="A100" s="136">
        <f t="shared" si="66"/>
        <v>8</v>
      </c>
      <c r="B100" s="136">
        <f t="shared" si="66"/>
        <v>651201108</v>
      </c>
      <c r="C100" s="135" t="str">
        <f t="shared" si="66"/>
        <v>นางสาวเกศรินทร์ ขอพลกลาง</v>
      </c>
      <c r="D100" s="134">
        <f t="shared" si="67"/>
        <v>84.72</v>
      </c>
      <c r="E100" s="157">
        <f t="shared" si="68"/>
        <v>490.16</v>
      </c>
      <c r="F100" s="222" t="str">
        <f t="shared" si="69"/>
        <v>B+</v>
      </c>
      <c r="G100" s="222"/>
      <c r="H100" s="172"/>
      <c r="I100" s="176" t="s">
        <v>145</v>
      </c>
      <c r="J100" s="175">
        <f t="shared" si="64"/>
        <v>0</v>
      </c>
      <c r="K100" s="133">
        <f t="shared" si="65"/>
        <v>0</v>
      </c>
      <c r="L100" s="168"/>
      <c r="M100" s="168"/>
      <c r="N100" s="168"/>
      <c r="O100" s="168"/>
      <c r="P100" s="168"/>
      <c r="Q100" s="168"/>
      <c r="R100" s="168"/>
    </row>
    <row r="101" spans="1:20" x14ac:dyDescent="0.35">
      <c r="A101" s="136">
        <f t="shared" si="66"/>
        <v>9</v>
      </c>
      <c r="B101" s="136">
        <f t="shared" si="66"/>
        <v>0</v>
      </c>
      <c r="C101" s="135">
        <f t="shared" si="66"/>
        <v>0</v>
      </c>
      <c r="D101" s="134">
        <f t="shared" si="67"/>
        <v>0</v>
      </c>
      <c r="E101" s="157">
        <f t="shared" si="68"/>
        <v>0</v>
      </c>
      <c r="F101" s="222" t="str">
        <f t="shared" si="69"/>
        <v>-</v>
      </c>
      <c r="G101" s="222"/>
      <c r="H101" s="172"/>
      <c r="I101" s="174" t="s">
        <v>1</v>
      </c>
      <c r="J101" s="174">
        <f>SUM(J92:J100)</f>
        <v>8</v>
      </c>
      <c r="K101" s="173">
        <f t="shared" si="65"/>
        <v>100</v>
      </c>
      <c r="L101" s="168"/>
      <c r="M101" s="168"/>
      <c r="N101" s="168"/>
      <c r="O101" s="168"/>
      <c r="P101" s="168"/>
      <c r="Q101" s="168"/>
      <c r="R101" s="168"/>
    </row>
    <row r="102" spans="1:20" x14ac:dyDescent="0.35">
      <c r="A102" s="136">
        <f t="shared" si="66"/>
        <v>10</v>
      </c>
      <c r="B102" s="136">
        <f t="shared" si="66"/>
        <v>0</v>
      </c>
      <c r="C102" s="135">
        <f t="shared" si="66"/>
        <v>0</v>
      </c>
      <c r="D102" s="134">
        <f>ROUND(SUM(E17,H17,K17,N17,Q17,T17,E33,H33,K33,N33,Q33,T33,E50,H50,K50,N50,Q50,T50,E67,H67,K67,N67,Q67,T67,E84,H84,K84,N84,Q84,T84),2)</f>
        <v>0</v>
      </c>
      <c r="E102" s="157" t="str">
        <f>IF(D102=0,"-",ROUND(SUM(F17,I17,L17,O17,R17,U17,F33,I33,L33,O33,R33,U33,F50,I50,L50,O50,R50,U50,F67,I67,L67,O67,R67,U67,F84,I84,L84,O84,R84,U84),2))</f>
        <v>-</v>
      </c>
      <c r="F102" s="222" t="str">
        <f t="shared" si="69"/>
        <v>-</v>
      </c>
      <c r="G102" s="222"/>
      <c r="H102" s="172"/>
      <c r="I102" s="172"/>
    </row>
    <row r="103" spans="1:20" x14ac:dyDescent="0.35">
      <c r="C103" s="146"/>
      <c r="D103" s="171"/>
      <c r="E103" s="171"/>
      <c r="F103" s="141"/>
      <c r="G103" s="141"/>
      <c r="H103" s="141"/>
      <c r="I103" s="141"/>
    </row>
    <row r="104" spans="1:20" x14ac:dyDescent="0.35">
      <c r="I104" s="169"/>
      <c r="J104" s="169"/>
    </row>
    <row r="105" spans="1:20" x14ac:dyDescent="0.35">
      <c r="B105" s="170" t="s">
        <v>147</v>
      </c>
      <c r="I105" s="169"/>
      <c r="J105" s="169"/>
      <c r="K105" s="169"/>
      <c r="L105" s="131" t="s">
        <v>2</v>
      </c>
    </row>
    <row r="106" spans="1:20" ht="22" thickBot="1" x14ac:dyDescent="0.4">
      <c r="A106" s="224" t="s">
        <v>76</v>
      </c>
      <c r="B106" s="224" t="s">
        <v>12</v>
      </c>
      <c r="C106" s="224" t="s">
        <v>0</v>
      </c>
      <c r="D106" s="227" t="s">
        <v>1</v>
      </c>
      <c r="E106" s="228"/>
      <c r="F106" s="226" t="s">
        <v>149</v>
      </c>
      <c r="G106" s="226"/>
      <c r="I106" s="168" t="s">
        <v>38</v>
      </c>
      <c r="J106" s="145"/>
      <c r="L106" s="168"/>
      <c r="O106" s="168" t="s">
        <v>39</v>
      </c>
      <c r="Q106" s="145"/>
    </row>
    <row r="107" spans="1:20" ht="22" thickBot="1" x14ac:dyDescent="0.4">
      <c r="A107" s="224"/>
      <c r="B107" s="224"/>
      <c r="C107" s="224"/>
      <c r="D107" s="138" t="str">
        <f>SUM(E7,H7,K7,N7,Q7,T7,E23,H23,K23,N23,Q23,T23,E40,H40,K40,N40,Q40,T40,E57,H57,K57,N57,Q57,T57,E74,H74,K74,N74,Q74,T74)&amp;"%"</f>
        <v>100%</v>
      </c>
      <c r="E107" s="138" t="str">
        <f>SUM(F7,I7,L7,O7,R7,U7,F23,I23,L23,O23,R23,U23,F40,I40,L40,O40,R40,U40,F57,I57,L57,O57,R57,U57,F74,I74,L74,O74,R74,U74)&amp;"T"</f>
        <v>10.5T</v>
      </c>
      <c r="F107" s="137" t="s">
        <v>152</v>
      </c>
      <c r="G107" s="137" t="s">
        <v>153</v>
      </c>
      <c r="I107" s="165" t="s">
        <v>15</v>
      </c>
      <c r="J107" s="165" t="s">
        <v>16</v>
      </c>
      <c r="K107" s="166" t="s">
        <v>9</v>
      </c>
      <c r="L107" s="165" t="s">
        <v>4</v>
      </c>
      <c r="M107" s="165" t="s">
        <v>1</v>
      </c>
      <c r="O107" s="165" t="s">
        <v>15</v>
      </c>
      <c r="P107" s="167"/>
      <c r="Q107" s="165" t="s">
        <v>16</v>
      </c>
      <c r="R107" s="166" t="s">
        <v>9</v>
      </c>
      <c r="S107" s="165" t="s">
        <v>4</v>
      </c>
      <c r="T107" s="165" t="s">
        <v>1</v>
      </c>
    </row>
    <row r="108" spans="1:20" x14ac:dyDescent="0.35">
      <c r="A108" s="136">
        <f t="shared" ref="A108:C117" si="70">A8</f>
        <v>1</v>
      </c>
      <c r="B108" s="136">
        <f t="shared" si="70"/>
        <v>651201101</v>
      </c>
      <c r="C108" s="135" t="str">
        <f t="shared" si="70"/>
        <v>นางสาวกนกทิพย์ สีกวาง</v>
      </c>
      <c r="D108" s="134">
        <f t="shared" ref="D108:D116" si="71">ROUND(SUM(E8,H8,K8,N8,Q8,T8,E24,H24,K24,N24,Q24,T24,E41,H41,K41,N41,Q41,T41,E58,H58,K58,N58,Q58,T58,E75,H75,K75,N75,Q75,T75),2)</f>
        <v>84.97</v>
      </c>
      <c r="E108" s="134">
        <f t="shared" ref="E108:E116" si="72">ROUND(SUM(F8,I8,L8,O8,R8,U8,F24,I24,L24,O24,R24,U24,F41,I41,L41,O41,R41,U41,F58,I58,L58,O58,R58,U58,F75,I75,L75,O75,R75,U75),2)</f>
        <v>491.39</v>
      </c>
      <c r="F108" s="133" t="str">
        <f t="shared" ref="F108:F117" si="73">IF($I$111="-","-",IF(E108="-","-",IF(E108&gt;=$I$108,$L$108,IF(E108&gt;=$I$109,$L$109,IF(E108&gt;=$I$110,$L$110,IF(E108&gt;=$I$111,$L$111,IF(E108&gt;=$I$112,$L$112,IF(E108&gt;=$I$113,$L$113,IF(E108&gt;=$I$114,$L$114,IF(E108&gt;=$I$115,$L$115,"I/E"))))))))))</f>
        <v>B+</v>
      </c>
      <c r="G108" s="133" t="str">
        <f t="shared" ref="G108:G117" si="74"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164" t="str">
        <f>IF(OR($E$128=8),$J$109+0.01,"-")</f>
        <v>-</v>
      </c>
      <c r="J108" s="164" t="str">
        <f>IF(OR($E$128=8),$I$108+$E$129,"-")</f>
        <v>-</v>
      </c>
      <c r="K108" s="163" t="e">
        <f t="shared" ref="K108:K115" si="75">J108-I108</f>
        <v>#VALUE!</v>
      </c>
      <c r="L108" s="154" t="str">
        <f>IF($E$128=8,$C$124,"-")</f>
        <v>-</v>
      </c>
      <c r="M108" s="154" t="str">
        <f t="shared" ref="M108:M115" si="76">IF(L108="-","-",COUNTIF($F$108:$F$117,L108))</f>
        <v>-</v>
      </c>
      <c r="O108" s="157" t="str">
        <f>IF(OR($E$128=7),$Q$109+0.01,"-")</f>
        <v>-</v>
      </c>
      <c r="P108" s="162"/>
      <c r="Q108" s="157" t="str">
        <f>IF(OR($E$128=7),$O$108+$E$129,"-")</f>
        <v>-</v>
      </c>
      <c r="R108" s="155" t="e">
        <f t="shared" ref="R108:R114" si="77">Q108-O108</f>
        <v>#VALUE!</v>
      </c>
      <c r="S108" s="133" t="str">
        <f>IF($E$128=7,$C$124,"-")</f>
        <v>-</v>
      </c>
      <c r="T108" s="154" t="str">
        <f t="shared" ref="T108:T114" si="78">IF(S108="-","-",COUNTIF($G$108:$G$117,S108))</f>
        <v>-</v>
      </c>
    </row>
    <row r="109" spans="1:20" x14ac:dyDescent="0.35">
      <c r="A109" s="136">
        <f t="shared" si="70"/>
        <v>2</v>
      </c>
      <c r="B109" s="136">
        <f t="shared" si="70"/>
        <v>651201102</v>
      </c>
      <c r="C109" s="135" t="str">
        <f t="shared" si="70"/>
        <v>นายกมลภพ หนูพันธ์</v>
      </c>
      <c r="D109" s="134">
        <f t="shared" si="71"/>
        <v>79.27</v>
      </c>
      <c r="E109" s="134">
        <f t="shared" si="72"/>
        <v>399.69</v>
      </c>
      <c r="F109" s="133" t="str">
        <f t="shared" si="73"/>
        <v>B</v>
      </c>
      <c r="G109" s="133" t="str">
        <f t="shared" si="74"/>
        <v>-</v>
      </c>
      <c r="I109" s="159" t="str">
        <f>IF(OR($E$128=8,$E$128=6),$J$110+0.01,"-")</f>
        <v>-</v>
      </c>
      <c r="J109" s="159" t="str">
        <f>IF(OR($E$128=8,$E$128=6),$I$109+$E$129,"-")</f>
        <v>-</v>
      </c>
      <c r="K109" s="155" t="e">
        <f t="shared" si="75"/>
        <v>#VALUE!</v>
      </c>
      <c r="L109" s="133" t="str">
        <f>IF($E$128=8,$C$125,IF($E$128=6,$C$124,"-"))</f>
        <v>-</v>
      </c>
      <c r="M109" s="154" t="str">
        <f t="shared" si="76"/>
        <v>-</v>
      </c>
      <c r="O109" s="157" t="str">
        <f>IF(OR($E$128=5,$E$128=7),$Q$110+0.01,"-")</f>
        <v>-</v>
      </c>
      <c r="P109" s="158"/>
      <c r="Q109" s="157" t="str">
        <f>IF(OR($E$128=5,$E$128=7),$O$109+$E$129,"-")</f>
        <v>-</v>
      </c>
      <c r="R109" s="155" t="e">
        <f t="shared" si="77"/>
        <v>#VALUE!</v>
      </c>
      <c r="S109" s="133" t="str">
        <f>IF($E$128=7,$C$125,IF($E$128=5,$C$124,"-"))</f>
        <v>-</v>
      </c>
      <c r="T109" s="154" t="str">
        <f t="shared" si="78"/>
        <v>-</v>
      </c>
    </row>
    <row r="110" spans="1:20" x14ac:dyDescent="0.35">
      <c r="A110" s="136">
        <f t="shared" si="70"/>
        <v>3</v>
      </c>
      <c r="B110" s="136">
        <f t="shared" si="70"/>
        <v>651201103</v>
      </c>
      <c r="C110" s="135" t="str">
        <f t="shared" si="70"/>
        <v>นางสาวกรณ์วิภา เครือภักดี</v>
      </c>
      <c r="D110" s="134">
        <f t="shared" si="71"/>
        <v>92.06</v>
      </c>
      <c r="E110" s="134">
        <f t="shared" si="72"/>
        <v>625.39</v>
      </c>
      <c r="F110" s="133" t="str">
        <f t="shared" si="73"/>
        <v>B+</v>
      </c>
      <c r="G110" s="133" t="str">
        <f t="shared" si="74"/>
        <v>-</v>
      </c>
      <c r="I110" s="156">
        <f>IF(OR($E$128=8,$E$128=6,$E$128=4),$J$111+0.01,"-")</f>
        <v>627.67000000000007</v>
      </c>
      <c r="J110" s="156">
        <f>IF(OR($E$128=8,$E$128=6,$E$128=4),$I$110+$E$129,"-")</f>
        <v>786.54000000000008</v>
      </c>
      <c r="K110" s="155">
        <f t="shared" si="75"/>
        <v>158.87</v>
      </c>
      <c r="L110" s="133" t="str">
        <f>IF($E$128=8,$C$126,IF($E$128=6,$C$125,IF($E$128=4,$C$124,"-")))</f>
        <v>A</v>
      </c>
      <c r="M110" s="154">
        <f t="shared" si="76"/>
        <v>1</v>
      </c>
      <c r="O110" s="157" t="str">
        <f>IF(OR($E$128=3,$E$128=5,$E$128=7),Q111+0.01,"-")</f>
        <v>-</v>
      </c>
      <c r="P110" s="158"/>
      <c r="Q110" s="157" t="str">
        <f>IF(OR($E$128=3,$E$128=5,$E$128=7),$O$110+$E$129,"-")</f>
        <v>-</v>
      </c>
      <c r="R110" s="155" t="e">
        <f t="shared" si="77"/>
        <v>#VALUE!</v>
      </c>
      <c r="S110" s="133" t="str">
        <f>IF($E$128=7,$C$126,IF($E$128=5,$C$125,IF($E$128=3,$C$124,"-")))</f>
        <v>-</v>
      </c>
      <c r="T110" s="154" t="str">
        <f t="shared" si="78"/>
        <v>-</v>
      </c>
    </row>
    <row r="111" spans="1:20" x14ac:dyDescent="0.35">
      <c r="A111" s="136">
        <f t="shared" si="70"/>
        <v>4</v>
      </c>
      <c r="B111" s="136">
        <f t="shared" si="70"/>
        <v>651201104</v>
      </c>
      <c r="C111" s="135" t="str">
        <f t="shared" si="70"/>
        <v>นางสาวกัลญารัตน์ พิมพานิช</v>
      </c>
      <c r="D111" s="134">
        <f t="shared" si="71"/>
        <v>92.56</v>
      </c>
      <c r="E111" s="134">
        <f t="shared" si="72"/>
        <v>635.48</v>
      </c>
      <c r="F111" s="133" t="str">
        <f t="shared" si="73"/>
        <v>A</v>
      </c>
      <c r="G111" s="133" t="str">
        <f t="shared" si="74"/>
        <v>-</v>
      </c>
      <c r="I111" s="161">
        <f>IF(OR($E$128=2,$E$128=4,$E$128=6,$E$128=8),$E$124,"-")</f>
        <v>468.79</v>
      </c>
      <c r="J111" s="159">
        <f>IF(OR($E$128=2,$E$128=4,$E$128=6,$E$128=8),$E$124+E129,"-")</f>
        <v>627.66000000000008</v>
      </c>
      <c r="K111" s="155">
        <f t="shared" si="75"/>
        <v>158.87000000000006</v>
      </c>
      <c r="L111" s="133" t="str">
        <f>IF($E$128=8,$C$127,IF($E$128=6,$C$126,IF($E$128=4,$C$125,IF($E$128=2,$C$124,"-"))))</f>
        <v>B+</v>
      </c>
      <c r="M111" s="154">
        <f t="shared" si="76"/>
        <v>5</v>
      </c>
      <c r="O111" s="157" t="str">
        <f>IF(OR($E$128=1,$E$128=3,$E$128=5,$E$128=7),$P$111-($E$129/2),"-")</f>
        <v>-</v>
      </c>
      <c r="P111" s="160" t="str">
        <f>IF(OR($E$128=1,$E$128=3,$E$128=5,$E$128=7),$E$124,"-")</f>
        <v>-</v>
      </c>
      <c r="Q111" s="157" t="str">
        <f>IF(OR($E$128=1,$E$128=3,$E$128=5,$E$128=7),$P$111+$E$129/2,"-")</f>
        <v>-</v>
      </c>
      <c r="R111" s="155" t="e">
        <f t="shared" si="77"/>
        <v>#VALUE!</v>
      </c>
      <c r="S111" s="133" t="str">
        <f>IF($E$128=7,$C$127,IF($E$128=5,$C$126,IF($E$128=3,$C$125,IF($E$128=1,$C$124,"-"))))</f>
        <v>-</v>
      </c>
      <c r="T111" s="154" t="str">
        <f t="shared" si="78"/>
        <v>-</v>
      </c>
    </row>
    <row r="112" spans="1:20" x14ac:dyDescent="0.35">
      <c r="A112" s="136">
        <f t="shared" si="70"/>
        <v>5</v>
      </c>
      <c r="B112" s="136">
        <f t="shared" si="70"/>
        <v>651201105</v>
      </c>
      <c r="C112" s="135" t="str">
        <f t="shared" si="70"/>
        <v>นางสาวกิตติยาภรณ์ วาสุชาติ</v>
      </c>
      <c r="D112" s="134">
        <f t="shared" si="71"/>
        <v>81.349999999999994</v>
      </c>
      <c r="E112" s="134">
        <f t="shared" si="72"/>
        <v>437.57</v>
      </c>
      <c r="F112" s="133" t="str">
        <f t="shared" si="73"/>
        <v>B</v>
      </c>
      <c r="G112" s="133" t="str">
        <f t="shared" si="74"/>
        <v>-</v>
      </c>
      <c r="I112" s="156">
        <f>IF(OR($E$128=2,$E$128=4,$E$128=6,$E$128=8),$J$112-$E$129,"-")</f>
        <v>309.91000000000003</v>
      </c>
      <c r="J112" s="159">
        <f>IF(OR($E$128=2,$E$128=4,$E$128=6,$E$128=8),$E$124-0.01,"-")</f>
        <v>468.78000000000003</v>
      </c>
      <c r="K112" s="155">
        <f t="shared" si="75"/>
        <v>158.87</v>
      </c>
      <c r="L112" s="133" t="str">
        <f>IF($E$128=8,$C$128,IF($E$128=6,$C$127,IF($E$128=4,$C$126,IF($E$128=2,$C$125,"-"))))</f>
        <v>B</v>
      </c>
      <c r="M112" s="154">
        <f t="shared" si="76"/>
        <v>2</v>
      </c>
      <c r="O112" s="157" t="str">
        <f>IF(OR($E$128=3,$E$128=5,$E$128=7),$Q$112-$E$129,"-")</f>
        <v>-</v>
      </c>
      <c r="P112" s="158"/>
      <c r="Q112" s="157" t="str">
        <f>IF(OR($E$128=3,$E$128=5,$E$128=7),$O$111-0.01,"-")</f>
        <v>-</v>
      </c>
      <c r="R112" s="155" t="e">
        <f t="shared" si="77"/>
        <v>#VALUE!</v>
      </c>
      <c r="S112" s="133" t="str">
        <f>IF($E$128=7,$C$128,IF($E$128=5,$C$127,IF($E$128=3,$C$126,"-")))</f>
        <v>-</v>
      </c>
      <c r="T112" s="154" t="str">
        <f t="shared" si="78"/>
        <v>-</v>
      </c>
    </row>
    <row r="113" spans="1:20" x14ac:dyDescent="0.35">
      <c r="A113" s="136">
        <f t="shared" si="70"/>
        <v>6</v>
      </c>
      <c r="B113" s="136">
        <f t="shared" si="70"/>
        <v>651201106</v>
      </c>
      <c r="C113" s="135" t="str">
        <f t="shared" si="70"/>
        <v>นายกิตติศักดิ์ ประทุม</v>
      </c>
      <c r="D113" s="134">
        <f t="shared" si="71"/>
        <v>86.22</v>
      </c>
      <c r="E113" s="134">
        <f t="shared" si="72"/>
        <v>520.42999999999995</v>
      </c>
      <c r="F113" s="133" t="str">
        <f t="shared" si="73"/>
        <v>B+</v>
      </c>
      <c r="G113" s="133" t="str">
        <f t="shared" si="74"/>
        <v>-</v>
      </c>
      <c r="I113" s="156">
        <f>IF(OR($E$128=4,$E$128=6,$E$128=8),$J$113-$E$129,"-")</f>
        <v>151.03000000000003</v>
      </c>
      <c r="J113" s="156">
        <f>IF(OR($E$128=8,$E$128=6,$E$128=4),$I$112-0.01,"-")</f>
        <v>309.90000000000003</v>
      </c>
      <c r="K113" s="155">
        <f t="shared" si="75"/>
        <v>158.87</v>
      </c>
      <c r="L113" s="133" t="str">
        <f>IF($E$128=8,$C$129,IF($E$128=6,$C$128,IF($E$128=4,$C$127,"-")))</f>
        <v>C+</v>
      </c>
      <c r="M113" s="154">
        <f t="shared" si="76"/>
        <v>0</v>
      </c>
      <c r="O113" s="157" t="str">
        <f>IF(OR($E$128=5,$E$128=7),$Q$113-$E$129,"-")</f>
        <v>-</v>
      </c>
      <c r="P113" s="153"/>
      <c r="Q113" s="157" t="str">
        <f>IF(OR($E$128=5,$E$128=7),$O$112-0.01,"-")</f>
        <v>-</v>
      </c>
      <c r="R113" s="155" t="e">
        <f t="shared" si="77"/>
        <v>#VALUE!</v>
      </c>
      <c r="S113" s="133" t="str">
        <f>IF($E$128=7,$C$129,IF($E$128=5,$C$128,"-"))</f>
        <v>-</v>
      </c>
      <c r="T113" s="154" t="str">
        <f t="shared" si="78"/>
        <v>-</v>
      </c>
    </row>
    <row r="114" spans="1:20" ht="22" thickBot="1" x14ac:dyDescent="0.4">
      <c r="A114" s="136">
        <f t="shared" si="70"/>
        <v>7</v>
      </c>
      <c r="B114" s="136">
        <f t="shared" si="70"/>
        <v>651201107</v>
      </c>
      <c r="C114" s="135" t="str">
        <f t="shared" si="70"/>
        <v>นางสาวเกวลิน เวฬุวนารักษ์</v>
      </c>
      <c r="D114" s="134">
        <f t="shared" si="71"/>
        <v>92.31</v>
      </c>
      <c r="E114" s="134">
        <f t="shared" si="72"/>
        <v>618.98</v>
      </c>
      <c r="F114" s="133" t="str">
        <f t="shared" si="73"/>
        <v>B+</v>
      </c>
      <c r="G114" s="133" t="str">
        <f t="shared" si="74"/>
        <v>-</v>
      </c>
      <c r="I114" s="156" t="str">
        <f>IF(OR($E$128=6,$E$128=8),$J$114-$E$129,"-")</f>
        <v>-</v>
      </c>
      <c r="J114" s="156" t="str">
        <f>IF(OR($E$128=8,$E$128=6),$I$113-0.01,"-")</f>
        <v>-</v>
      </c>
      <c r="K114" s="155" t="e">
        <f t="shared" si="75"/>
        <v>#VALUE!</v>
      </c>
      <c r="L114" s="133" t="str">
        <f>IF($E$128=8,$C$130,IF($E$128=6,$C$129,"-"))</f>
        <v>-</v>
      </c>
      <c r="M114" s="154" t="str">
        <f t="shared" si="76"/>
        <v>-</v>
      </c>
      <c r="O114" s="152" t="str">
        <f>IF(OR($E$128=7),$Q$114-$E$129,"-")</f>
        <v>-</v>
      </c>
      <c r="P114" s="153"/>
      <c r="Q114" s="152" t="str">
        <f>IF(OR($E$128=7),$O$113-0.01,"-")</f>
        <v>-</v>
      </c>
      <c r="R114" s="149" t="e">
        <f t="shared" si="77"/>
        <v>#VALUE!</v>
      </c>
      <c r="S114" s="151" t="str">
        <f>IF($E$128=7,$C$130,"-")</f>
        <v>-</v>
      </c>
      <c r="T114" s="148" t="str">
        <f t="shared" si="78"/>
        <v>-</v>
      </c>
    </row>
    <row r="115" spans="1:20" ht="22" thickBot="1" x14ac:dyDescent="0.4">
      <c r="A115" s="136">
        <f t="shared" si="70"/>
        <v>8</v>
      </c>
      <c r="B115" s="136">
        <f t="shared" si="70"/>
        <v>651201108</v>
      </c>
      <c r="C115" s="135" t="str">
        <f t="shared" si="70"/>
        <v>นางสาวเกศรินทร์ ขอพลกลาง</v>
      </c>
      <c r="D115" s="134">
        <f t="shared" si="71"/>
        <v>84.72</v>
      </c>
      <c r="E115" s="134">
        <f t="shared" si="72"/>
        <v>490.16</v>
      </c>
      <c r="F115" s="133" t="str">
        <f t="shared" si="73"/>
        <v>B+</v>
      </c>
      <c r="G115" s="133" t="str">
        <f t="shared" si="74"/>
        <v>-</v>
      </c>
      <c r="I115" s="150" t="str">
        <f>IF(OR($E$128=8),$J$115-$E$129,"-")</f>
        <v>-</v>
      </c>
      <c r="J115" s="150" t="str">
        <f>IF($E$128=8,$I$114-0.01,"-")</f>
        <v>-</v>
      </c>
      <c r="K115" s="149" t="e">
        <f t="shared" si="75"/>
        <v>#VALUE!</v>
      </c>
      <c r="L115" s="133" t="str">
        <f>IF($E$128=8,$C$131,"-")</f>
        <v>-</v>
      </c>
      <c r="M115" s="148" t="str">
        <f t="shared" si="76"/>
        <v>-</v>
      </c>
      <c r="O115" s="231" t="s">
        <v>1</v>
      </c>
      <c r="P115" s="231"/>
      <c r="Q115" s="231"/>
      <c r="R115" s="231"/>
      <c r="S115" s="231"/>
      <c r="T115" s="147">
        <f>SUM(T108:T114)</f>
        <v>0</v>
      </c>
    </row>
    <row r="116" spans="1:20" ht="22" thickBot="1" x14ac:dyDescent="0.4">
      <c r="A116" s="136">
        <f t="shared" si="70"/>
        <v>9</v>
      </c>
      <c r="B116" s="136">
        <f t="shared" si="70"/>
        <v>0</v>
      </c>
      <c r="C116" s="135">
        <f t="shared" si="70"/>
        <v>0</v>
      </c>
      <c r="D116" s="134">
        <f t="shared" si="71"/>
        <v>0</v>
      </c>
      <c r="E116" s="134">
        <f t="shared" si="72"/>
        <v>0</v>
      </c>
      <c r="F116" s="133" t="str">
        <f t="shared" si="73"/>
        <v>I/E</v>
      </c>
      <c r="G116" s="133" t="str">
        <f t="shared" si="74"/>
        <v>-</v>
      </c>
      <c r="I116" s="232" t="s">
        <v>1</v>
      </c>
      <c r="J116" s="233"/>
      <c r="K116" s="233"/>
      <c r="L116" s="234"/>
      <c r="M116" s="147">
        <f>SUM(M108:M115)</f>
        <v>8</v>
      </c>
    </row>
    <row r="117" spans="1:20" x14ac:dyDescent="0.35">
      <c r="A117" s="136">
        <f t="shared" si="70"/>
        <v>10</v>
      </c>
      <c r="B117" s="136">
        <f t="shared" si="70"/>
        <v>0</v>
      </c>
      <c r="C117" s="135">
        <f t="shared" si="70"/>
        <v>0</v>
      </c>
      <c r="D117" s="134">
        <f>ROUND(SUM(E17,H17,K17,N17,Q17,T17,E33,H33,K33,N33,Q33,T33,E50,H50,K50,N50,Q50,T50,E67,H67,K67,N67,Q67,T67,E84,H84,K84,N84,Q84,T84),2)</f>
        <v>0</v>
      </c>
      <c r="E117" s="134" t="str">
        <f>IF(D117=0,"-",ROUND(SUM(F17,I17,L17,O17,R17,U17,F33,I33,L33,O33,R33,U33,F50,I50,L50,O50,R50,U50,F67,I67,L67,O67,R67,U67,F84,I84,L84,O84,R84,U84),2))</f>
        <v>-</v>
      </c>
      <c r="F117" s="133" t="str">
        <f t="shared" si="73"/>
        <v>-</v>
      </c>
      <c r="G117" s="133" t="str">
        <f t="shared" si="74"/>
        <v>-</v>
      </c>
    </row>
    <row r="118" spans="1:20" x14ac:dyDescent="0.35">
      <c r="C118" s="146"/>
      <c r="D118" s="145"/>
      <c r="E118" s="145"/>
      <c r="F118" s="141"/>
      <c r="G118" s="141"/>
    </row>
    <row r="119" spans="1:20" x14ac:dyDescent="0.35">
      <c r="C119" s="146"/>
      <c r="D119" s="145"/>
      <c r="E119" s="145"/>
      <c r="F119" s="141"/>
      <c r="G119" s="141"/>
    </row>
    <row r="120" spans="1:20" x14ac:dyDescent="0.35">
      <c r="C120" s="146"/>
      <c r="D120" s="145"/>
      <c r="E120" s="145"/>
      <c r="F120" s="141"/>
      <c r="G120" s="141"/>
    </row>
    <row r="121" spans="1:20" x14ac:dyDescent="0.35">
      <c r="C121" s="146"/>
      <c r="D121" s="145"/>
      <c r="E121" s="145"/>
      <c r="F121" s="141"/>
      <c r="G121" s="141"/>
    </row>
    <row r="122" spans="1:20" x14ac:dyDescent="0.35">
      <c r="C122" s="146"/>
      <c r="D122" s="145"/>
      <c r="E122" s="145"/>
      <c r="F122" s="141"/>
      <c r="G122" s="141"/>
    </row>
    <row r="124" spans="1:20" x14ac:dyDescent="0.35">
      <c r="B124" s="136" t="str">
        <f>IF($E$130="A","4",IF($E$130="B+","3.5",IF($E$130="B","3",IF($E$130="C+","2.5",IF($E$130="C","2",IF($E$130="D+","1.5",IF($E$130="D","1","-")))))))</f>
        <v>4</v>
      </c>
      <c r="C124" s="136" t="str">
        <f>IF(B124="4","A",IF(B124="3.5","B+",IF(B124="3","B",IF(B124="2.5","C+",IF(B124="2","C",IF(B124="1.5","D+",IF(B124="1","D","-")))))))</f>
        <v>A</v>
      </c>
      <c r="D124" s="143" t="s">
        <v>13</v>
      </c>
      <c r="E124" s="144">
        <f>ROUND(AVERAGE($E$108:$E$117),2)</f>
        <v>468.79</v>
      </c>
    </row>
    <row r="125" spans="1:20" x14ac:dyDescent="0.35">
      <c r="B125" s="136">
        <f>$B$124-0.5</f>
        <v>3.5</v>
      </c>
      <c r="C125" s="136" t="str">
        <f t="shared" ref="C125:C132" si="79">IF(B125=4,"A",IF(B125=3.5,"B+",IF(B125=3,"B",IF(B125=2.5,"C+",IF(B125=2,"C",IF(B125=1.5,"D+",IF(B125=1,"D","E")))))))</f>
        <v>B+</v>
      </c>
      <c r="D125" s="144" t="s">
        <v>18</v>
      </c>
      <c r="E125" s="144">
        <f>ROUND(MAX($E$108:$E$117),2)</f>
        <v>635.48</v>
      </c>
      <c r="O125" s="131" t="s">
        <v>154</v>
      </c>
    </row>
    <row r="126" spans="1:20" x14ac:dyDescent="0.35">
      <c r="B126" s="136">
        <f>$B$124-1</f>
        <v>3</v>
      </c>
      <c r="C126" s="136" t="str">
        <f t="shared" si="79"/>
        <v>B</v>
      </c>
      <c r="D126" s="144" t="s">
        <v>19</v>
      </c>
      <c r="E126" s="144">
        <f>ROUND(MIN($E$108:$E$117),2)</f>
        <v>0</v>
      </c>
      <c r="O126" s="131">
        <v>1</v>
      </c>
      <c r="P126" s="131" t="s">
        <v>137</v>
      </c>
    </row>
    <row r="127" spans="1:20" x14ac:dyDescent="0.35">
      <c r="B127" s="136">
        <f>$B$124-1.5</f>
        <v>2.5</v>
      </c>
      <c r="C127" s="136" t="str">
        <f t="shared" si="79"/>
        <v>C+</v>
      </c>
      <c r="D127" s="143" t="s">
        <v>150</v>
      </c>
      <c r="E127" s="144">
        <f>ROUND($E$125-$E$126,2)</f>
        <v>635.48</v>
      </c>
      <c r="O127" s="131">
        <v>2</v>
      </c>
      <c r="P127" s="131" t="s">
        <v>155</v>
      </c>
    </row>
    <row r="128" spans="1:20" x14ac:dyDescent="0.35">
      <c r="B128" s="136">
        <f>$B$124-2</f>
        <v>2</v>
      </c>
      <c r="C128" s="136" t="str">
        <f t="shared" si="79"/>
        <v>C</v>
      </c>
      <c r="D128" s="143" t="s">
        <v>4</v>
      </c>
      <c r="E128" s="142">
        <v>4</v>
      </c>
      <c r="F128" s="131" t="s">
        <v>40</v>
      </c>
      <c r="O128" s="131">
        <v>3</v>
      </c>
      <c r="P128" s="131" t="s">
        <v>156</v>
      </c>
    </row>
    <row r="129" spans="1:19" x14ac:dyDescent="0.35">
      <c r="B129" s="136">
        <f>$B$124-2.5</f>
        <v>1.5</v>
      </c>
      <c r="C129" s="136" t="str">
        <f t="shared" si="79"/>
        <v>D+</v>
      </c>
      <c r="D129" s="143" t="s">
        <v>9</v>
      </c>
      <c r="E129" s="144">
        <f>ROUND($E$127/$E$128,2)</f>
        <v>158.87</v>
      </c>
      <c r="O129" s="235"/>
      <c r="P129" s="235"/>
      <c r="Q129" s="235"/>
      <c r="R129" s="235"/>
      <c r="S129" s="235"/>
    </row>
    <row r="130" spans="1:19" x14ac:dyDescent="0.35">
      <c r="B130" s="136">
        <f>$B$124-3</f>
        <v>1</v>
      </c>
      <c r="C130" s="136" t="str">
        <f t="shared" si="79"/>
        <v>D</v>
      </c>
      <c r="D130" s="143" t="s">
        <v>151</v>
      </c>
      <c r="E130" s="142" t="s">
        <v>8</v>
      </c>
      <c r="F130" s="131" t="s">
        <v>41</v>
      </c>
      <c r="O130" s="235"/>
      <c r="P130" s="235"/>
      <c r="Q130" s="235"/>
      <c r="R130" s="235"/>
      <c r="S130" s="235"/>
    </row>
    <row r="131" spans="1:19" x14ac:dyDescent="0.35">
      <c r="B131" s="136">
        <f>$B$124-3.5</f>
        <v>0.5</v>
      </c>
      <c r="C131" s="136" t="str">
        <f t="shared" si="79"/>
        <v>E</v>
      </c>
      <c r="O131" s="223"/>
      <c r="P131" s="223"/>
      <c r="Q131" s="223"/>
      <c r="R131" s="223"/>
      <c r="S131" s="223"/>
    </row>
    <row r="132" spans="1:19" x14ac:dyDescent="0.35">
      <c r="B132" s="136">
        <f>$B$124-4</f>
        <v>0</v>
      </c>
      <c r="C132" s="136" t="str">
        <f t="shared" si="79"/>
        <v>E</v>
      </c>
    </row>
    <row r="136" spans="1:19" x14ac:dyDescent="0.35">
      <c r="C136" s="230" t="s">
        <v>188</v>
      </c>
      <c r="D136" s="230"/>
      <c r="E136" s="230"/>
      <c r="G136" s="131">
        <v>1</v>
      </c>
    </row>
    <row r="137" spans="1:19" x14ac:dyDescent="0.35">
      <c r="A137" s="224" t="s">
        <v>76</v>
      </c>
      <c r="B137" s="224" t="s">
        <v>12</v>
      </c>
      <c r="C137" s="224" t="s">
        <v>0</v>
      </c>
      <c r="D137" s="225" t="s">
        <v>1</v>
      </c>
      <c r="E137" s="225"/>
      <c r="F137" s="225"/>
      <c r="G137" s="225"/>
    </row>
    <row r="138" spans="1:19" x14ac:dyDescent="0.35">
      <c r="A138" s="224"/>
      <c r="B138" s="224"/>
      <c r="C138" s="224"/>
      <c r="D138" s="138" t="str">
        <f t="shared" ref="D138:E148" si="80">D92</f>
        <v>100%</v>
      </c>
      <c r="E138" s="138" t="str">
        <f t="shared" si="80"/>
        <v>10.5T</v>
      </c>
      <c r="F138" s="226" t="s">
        <v>4</v>
      </c>
      <c r="G138" s="226"/>
    </row>
    <row r="139" spans="1:19" x14ac:dyDescent="0.35">
      <c r="A139" s="136">
        <f t="shared" ref="A139:C148" si="81">A8</f>
        <v>1</v>
      </c>
      <c r="B139" s="136">
        <f t="shared" si="81"/>
        <v>651201101</v>
      </c>
      <c r="C139" s="135" t="str">
        <f t="shared" si="81"/>
        <v>นางสาวกนกทิพย์ สีกวาง</v>
      </c>
      <c r="D139" s="134">
        <f t="shared" si="80"/>
        <v>84.97</v>
      </c>
      <c r="E139" s="134">
        <f t="shared" si="80"/>
        <v>491.39</v>
      </c>
      <c r="F139" s="222" t="str">
        <f t="shared" ref="F139:F148" si="82">IF($G$136=1,F93,IF($G$136=2,F108,G108))</f>
        <v>B+</v>
      </c>
      <c r="G139" s="222"/>
    </row>
    <row r="140" spans="1:19" x14ac:dyDescent="0.35">
      <c r="A140" s="136">
        <f t="shared" si="81"/>
        <v>2</v>
      </c>
      <c r="B140" s="136">
        <f t="shared" si="81"/>
        <v>651201102</v>
      </c>
      <c r="C140" s="135" t="str">
        <f t="shared" si="81"/>
        <v>นายกมลภพ หนูพันธ์</v>
      </c>
      <c r="D140" s="134">
        <f t="shared" si="80"/>
        <v>79.27</v>
      </c>
      <c r="E140" s="134">
        <f t="shared" si="80"/>
        <v>399.69</v>
      </c>
      <c r="F140" s="222" t="str">
        <f t="shared" si="82"/>
        <v>B</v>
      </c>
      <c r="G140" s="222"/>
    </row>
    <row r="141" spans="1:19" x14ac:dyDescent="0.35">
      <c r="A141" s="136">
        <f t="shared" si="81"/>
        <v>3</v>
      </c>
      <c r="B141" s="136">
        <f t="shared" si="81"/>
        <v>651201103</v>
      </c>
      <c r="C141" s="135" t="str">
        <f t="shared" si="81"/>
        <v>นางสาวกรณ์วิภา เครือภักดี</v>
      </c>
      <c r="D141" s="134">
        <f t="shared" si="80"/>
        <v>92.06</v>
      </c>
      <c r="E141" s="134">
        <f t="shared" si="80"/>
        <v>625.39</v>
      </c>
      <c r="F141" s="222" t="str">
        <f t="shared" si="82"/>
        <v>A</v>
      </c>
      <c r="G141" s="222"/>
    </row>
    <row r="142" spans="1:19" x14ac:dyDescent="0.35">
      <c r="A142" s="136">
        <f t="shared" si="81"/>
        <v>4</v>
      </c>
      <c r="B142" s="136">
        <f t="shared" si="81"/>
        <v>651201104</v>
      </c>
      <c r="C142" s="135" t="str">
        <f t="shared" si="81"/>
        <v>นางสาวกัลญารัตน์ พิมพานิช</v>
      </c>
      <c r="D142" s="134">
        <f t="shared" si="80"/>
        <v>92.56</v>
      </c>
      <c r="E142" s="134">
        <f t="shared" si="80"/>
        <v>635.48</v>
      </c>
      <c r="F142" s="222" t="str">
        <f t="shared" si="82"/>
        <v>A</v>
      </c>
      <c r="G142" s="222"/>
    </row>
    <row r="143" spans="1:19" x14ac:dyDescent="0.35">
      <c r="A143" s="136">
        <f t="shared" si="81"/>
        <v>5</v>
      </c>
      <c r="B143" s="136">
        <f t="shared" si="81"/>
        <v>651201105</v>
      </c>
      <c r="C143" s="135" t="str">
        <f t="shared" si="81"/>
        <v>นางสาวกิตติยาภรณ์ วาสุชาติ</v>
      </c>
      <c r="D143" s="134">
        <f t="shared" si="80"/>
        <v>81.349999999999994</v>
      </c>
      <c r="E143" s="134">
        <f t="shared" si="80"/>
        <v>437.57</v>
      </c>
      <c r="F143" s="222" t="str">
        <f t="shared" si="82"/>
        <v>B+</v>
      </c>
      <c r="G143" s="222"/>
    </row>
    <row r="144" spans="1:19" x14ac:dyDescent="0.35">
      <c r="A144" s="136">
        <f t="shared" si="81"/>
        <v>6</v>
      </c>
      <c r="B144" s="136">
        <f t="shared" si="81"/>
        <v>651201106</v>
      </c>
      <c r="C144" s="135" t="str">
        <f t="shared" si="81"/>
        <v>นายกิตติศักดิ์ ประทุม</v>
      </c>
      <c r="D144" s="134">
        <f t="shared" si="80"/>
        <v>86.22</v>
      </c>
      <c r="E144" s="134">
        <f t="shared" si="80"/>
        <v>520.42999999999995</v>
      </c>
      <c r="F144" s="222" t="str">
        <f t="shared" si="82"/>
        <v>A</v>
      </c>
      <c r="G144" s="222"/>
    </row>
    <row r="145" spans="1:7" x14ac:dyDescent="0.35">
      <c r="A145" s="136">
        <f t="shared" si="81"/>
        <v>7</v>
      </c>
      <c r="B145" s="136">
        <f t="shared" si="81"/>
        <v>651201107</v>
      </c>
      <c r="C145" s="135" t="str">
        <f t="shared" si="81"/>
        <v>นางสาวเกวลิน เวฬุวนารักษ์</v>
      </c>
      <c r="D145" s="134">
        <f t="shared" si="80"/>
        <v>92.31</v>
      </c>
      <c r="E145" s="134">
        <f t="shared" si="80"/>
        <v>618.98</v>
      </c>
      <c r="F145" s="222" t="str">
        <f t="shared" si="82"/>
        <v>A</v>
      </c>
      <c r="G145" s="222"/>
    </row>
    <row r="146" spans="1:7" x14ac:dyDescent="0.35">
      <c r="A146" s="136">
        <f t="shared" si="81"/>
        <v>8</v>
      </c>
      <c r="B146" s="136">
        <f t="shared" si="81"/>
        <v>651201108</v>
      </c>
      <c r="C146" s="135" t="str">
        <f t="shared" si="81"/>
        <v>นางสาวเกศรินทร์ ขอพลกลาง</v>
      </c>
      <c r="D146" s="134">
        <f t="shared" si="80"/>
        <v>84.72</v>
      </c>
      <c r="E146" s="134">
        <f t="shared" si="80"/>
        <v>490.16</v>
      </c>
      <c r="F146" s="222" t="str">
        <f t="shared" si="82"/>
        <v>B+</v>
      </c>
      <c r="G146" s="222"/>
    </row>
    <row r="147" spans="1:7" x14ac:dyDescent="0.35">
      <c r="A147" s="136">
        <f t="shared" si="81"/>
        <v>9</v>
      </c>
      <c r="B147" s="136">
        <f t="shared" si="81"/>
        <v>0</v>
      </c>
      <c r="C147" s="135">
        <f t="shared" si="81"/>
        <v>0</v>
      </c>
      <c r="D147" s="134">
        <f t="shared" si="80"/>
        <v>0</v>
      </c>
      <c r="E147" s="134">
        <f t="shared" si="80"/>
        <v>0</v>
      </c>
      <c r="F147" s="222" t="str">
        <f t="shared" si="82"/>
        <v>-</v>
      </c>
      <c r="G147" s="222"/>
    </row>
    <row r="148" spans="1:7" x14ac:dyDescent="0.35">
      <c r="A148" s="136">
        <f t="shared" si="81"/>
        <v>10</v>
      </c>
      <c r="B148" s="136">
        <f t="shared" si="81"/>
        <v>0</v>
      </c>
      <c r="C148" s="135">
        <f t="shared" si="81"/>
        <v>0</v>
      </c>
      <c r="D148" s="134">
        <f t="shared" si="80"/>
        <v>0</v>
      </c>
      <c r="E148" s="134" t="str">
        <f t="shared" si="80"/>
        <v>-</v>
      </c>
      <c r="F148" s="222" t="str">
        <f t="shared" si="82"/>
        <v>-</v>
      </c>
      <c r="G148" s="222"/>
    </row>
  </sheetData>
  <sheetProtection selectLockedCells="1"/>
  <protectedRanges>
    <protectedRange sqref="A8:D17" name="ช่วง1"/>
  </protectedRanges>
  <mergeCells count="100"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A55:A57"/>
    <mergeCell ref="B55:B57"/>
    <mergeCell ref="C55:C57"/>
    <mergeCell ref="D55:F55"/>
    <mergeCell ref="G55:I55"/>
    <mergeCell ref="S38:U38"/>
    <mergeCell ref="D54:R54"/>
    <mergeCell ref="C91:C92"/>
    <mergeCell ref="D91:G91"/>
    <mergeCell ref="P91:Q91"/>
    <mergeCell ref="F92:G92"/>
    <mergeCell ref="P92:Q92"/>
    <mergeCell ref="M55:O55"/>
    <mergeCell ref="P55:R55"/>
    <mergeCell ref="J55:L55"/>
    <mergeCell ref="S55:U55"/>
    <mergeCell ref="J72:L72"/>
    <mergeCell ref="M72:O72"/>
    <mergeCell ref="P72:R72"/>
    <mergeCell ref="S72:U72"/>
    <mergeCell ref="A91:A92"/>
    <mergeCell ref="B91:B92"/>
    <mergeCell ref="F96:G96"/>
    <mergeCell ref="A72:A74"/>
    <mergeCell ref="B72:B74"/>
    <mergeCell ref="C72:C74"/>
    <mergeCell ref="D72:F72"/>
    <mergeCell ref="G72:I72"/>
    <mergeCell ref="P93:Q93"/>
    <mergeCell ref="F94:G94"/>
    <mergeCell ref="P94:Q94"/>
    <mergeCell ref="F95:G95"/>
    <mergeCell ref="P95:Q95"/>
    <mergeCell ref="F93:G93"/>
    <mergeCell ref="P96:Q96"/>
    <mergeCell ref="P97:Q97"/>
    <mergeCell ref="F98:G98"/>
    <mergeCell ref="C136:E136"/>
    <mergeCell ref="F100:G100"/>
    <mergeCell ref="F101:G101"/>
    <mergeCell ref="F102:G102"/>
    <mergeCell ref="O115:S115"/>
    <mergeCell ref="I116:L116"/>
    <mergeCell ref="O129:S129"/>
    <mergeCell ref="O130:S130"/>
    <mergeCell ref="F99:G99"/>
    <mergeCell ref="F97:G97"/>
    <mergeCell ref="A106:A107"/>
    <mergeCell ref="B106:B107"/>
    <mergeCell ref="C106:C107"/>
    <mergeCell ref="D106:E106"/>
    <mergeCell ref="F106:G106"/>
    <mergeCell ref="F139:G139"/>
    <mergeCell ref="O131:S131"/>
    <mergeCell ref="A137:A138"/>
    <mergeCell ref="B137:B138"/>
    <mergeCell ref="C137:C138"/>
    <mergeCell ref="D137:G137"/>
    <mergeCell ref="F138:G138"/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</mergeCells>
  <pageMargins left="0.70866141732283472" right="0.70866141732283472" top="0.31496062992125984" bottom="0.19685039370078741" header="0.31496062992125984" footer="0.19685039370078741"/>
  <pageSetup paperSize="9" scale="66" orientation="landscape" verticalDpi="300" r:id="rId1"/>
  <rowBreaks count="3" manualBreakCount="3">
    <brk id="36" max="16383" man="1"/>
    <brk id="70" max="20" man="1"/>
    <brk id="8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0465" r:id="rId4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7</xdr:col>
                    <xdr:colOff>25400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5D63-E91E-FF4B-B6BA-F9FB98E5C516}">
  <sheetPr>
    <tabColor theme="9" tint="0.59999389629810485"/>
  </sheetPr>
  <dimension ref="A1:U149"/>
  <sheetViews>
    <sheetView zoomScale="75" workbookViewId="0">
      <selection sqref="A1:U3"/>
    </sheetView>
  </sheetViews>
  <sheetFormatPr baseColWidth="10" defaultRowHeight="15" x14ac:dyDescent="0.2"/>
  <sheetData>
    <row r="1" spans="1:21" ht="21" x14ac:dyDescent="0.2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21" x14ac:dyDescent="0.2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1" x14ac:dyDescent="0.2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1" x14ac:dyDescent="0.35">
      <c r="A4" s="2"/>
      <c r="B4" s="2"/>
      <c r="C4" s="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1" x14ac:dyDescent="0.2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ht="21" x14ac:dyDescent="0.2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ht="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76">
        <v>651201109</v>
      </c>
      <c r="C8" s="278" t="s">
        <v>225</v>
      </c>
      <c r="D8" s="279">
        <v>160</v>
      </c>
      <c r="E8" s="8">
        <f>IF(D8="-","-",IF(D8=0,0,(D8*$E$7)/$D$7))</f>
        <v>54.857142857142854</v>
      </c>
      <c r="F8" s="3">
        <f>IF(D8="-","-",IF(D8=0,0,IF($D$19=0,50,(50+(10*(STANDARDIZE(D8,$D$18,$D$19)))))*$F$7))</f>
        <v>325.83356114351898</v>
      </c>
      <c r="G8" s="279">
        <v>60</v>
      </c>
      <c r="H8" s="8">
        <f>IF(G8="-","-",IF(G8=0,0,(G8*$H$7)/$G$7))</f>
        <v>8</v>
      </c>
      <c r="I8" s="3">
        <f>IF(G8="-","-",IF(G8=0,0,IF($G$19=0,50,(50+(10*(STANDARDIZE(G8,$G$18,$G$19)))))*$I$7))</f>
        <v>50</v>
      </c>
      <c r="J8" s="279">
        <v>40</v>
      </c>
      <c r="K8" s="8">
        <f>IF(J8="-","-",IF(J8=0,0,(J8*$K$7)/$J$7))</f>
        <v>8</v>
      </c>
      <c r="L8" s="3">
        <f>IF(J8="-","-",IF(J8=0,0,IF(J19=0,50,(50+(10*(STANDARDIZE(J8,$J$18,$J$19)))))*$L$7))</f>
        <v>52.132007163556104</v>
      </c>
      <c r="M8" s="279">
        <v>18</v>
      </c>
      <c r="N8" s="8">
        <f>IF(M8="-","-",IF(M8=0,0,(M8*$N$7)/$M$7))</f>
        <v>3</v>
      </c>
      <c r="O8" s="3">
        <f>IF(M8="-","-",IF(M8=0,0,IF($M$19=0,50,(50+(10*(STANDARDIZE(M8,$M$18,$M$19)))))*$O$7))</f>
        <v>22.368941590456345</v>
      </c>
      <c r="P8" s="279">
        <v>70</v>
      </c>
      <c r="Q8" s="8">
        <f>IF(P8="-","-",IF(P8=0,0,(P8*$Q$7)/$P$7))</f>
        <v>7.7777777777777777</v>
      </c>
      <c r="R8" s="3">
        <f>IF(P8="-","-",IF(P8=0,0,IF($P$19=0,50,(50+(10*(STANDARDIZE(P8,$P$18,$P$19)))))*$R$7))</f>
        <v>51.485720800376043</v>
      </c>
      <c r="S8">
        <v>13</v>
      </c>
      <c r="T8" s="8">
        <f>IF(S8="-","-",IF(S8=0,0,(S8*$T$7)/$S$7))</f>
        <v>3.25</v>
      </c>
      <c r="U8" s="3">
        <f>IF(S8="-","-",IF(S8=0,0,IF($S$19=0,50,(50+(10*(STANDARDIZE(S8,$S$18,$S$19)))))*$U$7))</f>
        <v>38.705743009659493</v>
      </c>
    </row>
    <row r="9" spans="1:21" ht="27" x14ac:dyDescent="0.45">
      <c r="A9" s="95">
        <v>2</v>
      </c>
      <c r="B9" s="277">
        <v>651201110</v>
      </c>
      <c r="C9" s="278" t="s">
        <v>226</v>
      </c>
      <c r="D9" s="279">
        <v>165</v>
      </c>
      <c r="E9" s="8">
        <f t="shared" ref="E9:E17" si="0">IF(D9="-","-",IF(D9=0,0,(D9*$E$7)/$D$7))</f>
        <v>56.571428571428569</v>
      </c>
      <c r="F9" s="3">
        <f t="shared" ref="F9:F16" si="1">IF(D9="-","-",IF(D9=0,0,IF($D$19=0,50,(50+(10*(STANDARDIZE(D9,$D$18,$D$19)))))*$F$7))</f>
        <v>377.50068343055682</v>
      </c>
      <c r="G9" s="279">
        <v>68</v>
      </c>
      <c r="H9" s="8">
        <f t="shared" ref="H9:H17" si="2">IF(G9="-","-",IF(G9=0,0,(G9*$H$7)/$G$7))</f>
        <v>9.0666666666666664</v>
      </c>
      <c r="I9" s="3">
        <f t="shared" ref="I9:I17" si="3">IF(G9="-","-",IF(G9=0,0,IF($G$19=0,50,(50+(10*(STANDARDIZE(G9,$G$18,$G$19)))))*$I$7))</f>
        <v>61.033545687347406</v>
      </c>
      <c r="J9" s="279">
        <v>45</v>
      </c>
      <c r="K9" s="8">
        <f t="shared" ref="K9:K17" si="4">IF(J9="-","-",IF(J9=0,0,(J9*$K$7)/$J$7))</f>
        <v>9</v>
      </c>
      <c r="L9" s="3">
        <f t="shared" ref="L9:L17" si="5">IF(J9="-","-",IF(J9=0,0,IF(J20=0,50,(50+(10*(STANDARDIZE(J9,$J$18,$J$19)))))*$L$7))</f>
        <v>50</v>
      </c>
      <c r="M9" s="279">
        <v>22</v>
      </c>
      <c r="N9" s="8">
        <f t="shared" ref="N9:N17" si="6">IF(M9="-","-",IF(M9=0,0,(M9*$N$7)/$M$7))</f>
        <v>3.6666666666666665</v>
      </c>
      <c r="O9" s="3">
        <f t="shared" ref="O9:O17" si="7">IF(M9="-","-",IF(M9=0,0,IF($M$19=0,50,(50+(10*(STANDARDIZE(M9,$M$18,$M$19)))))*$O$7))</f>
        <v>30.788328500996037</v>
      </c>
      <c r="P9" s="279">
        <v>75</v>
      </c>
      <c r="Q9" s="8">
        <f t="shared" ref="Q9:Q17" si="8">IF(P9="-","-",IF(P9=0,0,(P9*$Q$7)/$P$7))</f>
        <v>8.3333333333333339</v>
      </c>
      <c r="R9" s="3">
        <f t="shared" ref="R9:R17" si="9">IF(P9="-","-",IF(P9=0,0,IF($P$19=0,50,(50+(10*(STANDARDIZE(P9,$P$18,$P$19)))))*$R$7))</f>
        <v>63.37148720338439</v>
      </c>
      <c r="S9">
        <v>17</v>
      </c>
      <c r="T9" s="8">
        <f t="shared" ref="T9:T17" si="10">IF(S9="-","-",IF(S9=0,0,(S9*$T$7)/$S$7))</f>
        <v>4.25</v>
      </c>
      <c r="U9" s="3">
        <f t="shared" ref="U9:U17" si="11">IF(S9="-","-",IF(S9=0,0,IF($S$19=0,50,(50+(10*(STANDARDIZE(S9,$S$18,$S$19)))))*$U$7))</f>
        <v>55.133753177427501</v>
      </c>
    </row>
    <row r="10" spans="1:21" ht="27" x14ac:dyDescent="0.45">
      <c r="A10" s="95">
        <v>3</v>
      </c>
      <c r="B10" s="277">
        <v>651201111</v>
      </c>
      <c r="C10" s="278" t="s">
        <v>227</v>
      </c>
      <c r="D10" s="279">
        <v>156</v>
      </c>
      <c r="E10" s="8">
        <f t="shared" si="0"/>
        <v>53.485714285714288</v>
      </c>
      <c r="F10" s="3">
        <f t="shared" si="1"/>
        <v>284.49986331388862</v>
      </c>
      <c r="G10" s="279">
        <v>60</v>
      </c>
      <c r="H10" s="8">
        <f t="shared" si="2"/>
        <v>8</v>
      </c>
      <c r="I10" s="3">
        <f t="shared" si="3"/>
        <v>50</v>
      </c>
      <c r="J10" s="279">
        <v>38</v>
      </c>
      <c r="K10" s="8">
        <f t="shared" si="4"/>
        <v>7.6</v>
      </c>
      <c r="L10" s="3">
        <f t="shared" si="5"/>
        <v>50</v>
      </c>
      <c r="M10" s="279">
        <v>18</v>
      </c>
      <c r="N10" s="8">
        <f t="shared" si="6"/>
        <v>3</v>
      </c>
      <c r="O10" s="3">
        <f t="shared" si="7"/>
        <v>22.368941590456345</v>
      </c>
      <c r="P10" s="279">
        <v>70</v>
      </c>
      <c r="Q10" s="8">
        <f t="shared" si="8"/>
        <v>7.7777777777777777</v>
      </c>
      <c r="R10" s="3">
        <f t="shared" si="9"/>
        <v>51.485720800376043</v>
      </c>
      <c r="S10">
        <v>17</v>
      </c>
      <c r="T10" s="8">
        <f t="shared" si="10"/>
        <v>4.25</v>
      </c>
      <c r="U10" s="3">
        <f t="shared" si="11"/>
        <v>55.133753177427501</v>
      </c>
    </row>
    <row r="11" spans="1:21" ht="27" x14ac:dyDescent="0.45">
      <c r="A11" s="95">
        <v>4</v>
      </c>
      <c r="B11" s="277">
        <v>651201112</v>
      </c>
      <c r="C11" s="278" t="s">
        <v>228</v>
      </c>
      <c r="D11" s="279">
        <v>150</v>
      </c>
      <c r="E11" s="8">
        <f t="shared" si="0"/>
        <v>51.428571428571431</v>
      </c>
      <c r="F11" s="3">
        <f t="shared" si="1"/>
        <v>222.49931656944315</v>
      </c>
      <c r="G11" s="279">
        <v>50</v>
      </c>
      <c r="H11" s="8">
        <f t="shared" si="2"/>
        <v>6.666666666666667</v>
      </c>
      <c r="I11" s="3">
        <f t="shared" si="3"/>
        <v>36.208067890815741</v>
      </c>
      <c r="J11" s="279">
        <v>35</v>
      </c>
      <c r="K11" s="8">
        <f t="shared" si="4"/>
        <v>7</v>
      </c>
      <c r="L11" s="3">
        <f t="shared" si="5"/>
        <v>41.471971345775586</v>
      </c>
      <c r="M11" s="279">
        <v>18</v>
      </c>
      <c r="N11" s="8">
        <f t="shared" si="6"/>
        <v>3</v>
      </c>
      <c r="O11" s="3">
        <f t="shared" si="7"/>
        <v>22.368941590456345</v>
      </c>
      <c r="P11" s="279">
        <v>65</v>
      </c>
      <c r="Q11" s="8">
        <f t="shared" si="8"/>
        <v>7.2222222222222223</v>
      </c>
      <c r="R11" s="3">
        <f t="shared" si="9"/>
        <v>39.599954397367696</v>
      </c>
      <c r="S11">
        <v>16</v>
      </c>
      <c r="T11" s="8">
        <f t="shared" si="10"/>
        <v>4</v>
      </c>
      <c r="U11" s="3">
        <f t="shared" si="11"/>
        <v>51.026750635485499</v>
      </c>
    </row>
    <row r="12" spans="1:21" ht="27" x14ac:dyDescent="0.45">
      <c r="A12" s="95">
        <v>5</v>
      </c>
      <c r="B12" s="277">
        <v>651201113</v>
      </c>
      <c r="C12" s="278" t="s">
        <v>229</v>
      </c>
      <c r="D12" s="279">
        <v>150</v>
      </c>
      <c r="E12" s="8">
        <f t="shared" si="0"/>
        <v>51.428571428571431</v>
      </c>
      <c r="F12" s="3">
        <f t="shared" si="1"/>
        <v>222.49931656944315</v>
      </c>
      <c r="G12" s="279">
        <v>50</v>
      </c>
      <c r="H12" s="8">
        <f t="shared" si="2"/>
        <v>6.666666666666667</v>
      </c>
      <c r="I12" s="3">
        <f t="shared" si="3"/>
        <v>36.208067890815741</v>
      </c>
      <c r="J12" s="279">
        <v>32</v>
      </c>
      <c r="K12" s="8">
        <f t="shared" si="4"/>
        <v>6.4</v>
      </c>
      <c r="L12" s="3">
        <f t="shared" si="5"/>
        <v>50</v>
      </c>
      <c r="M12" s="279">
        <v>16</v>
      </c>
      <c r="N12" s="8">
        <f t="shared" si="6"/>
        <v>2.6666666666666665</v>
      </c>
      <c r="O12" s="3">
        <f t="shared" si="7"/>
        <v>18.159248135186502</v>
      </c>
      <c r="P12" s="279">
        <v>66</v>
      </c>
      <c r="Q12" s="8">
        <f t="shared" si="8"/>
        <v>7.333333333333333</v>
      </c>
      <c r="R12" s="3">
        <f t="shared" si="9"/>
        <v>41.977107677969364</v>
      </c>
      <c r="S12">
        <v>19</v>
      </c>
      <c r="T12" s="8">
        <f t="shared" si="10"/>
        <v>4.75</v>
      </c>
      <c r="U12" s="3">
        <f t="shared" si="11"/>
        <v>63.347758261311512</v>
      </c>
    </row>
    <row r="13" spans="1:21" ht="27" x14ac:dyDescent="0.45">
      <c r="A13" s="95">
        <v>6</v>
      </c>
      <c r="B13" s="277">
        <v>651201114</v>
      </c>
      <c r="C13" s="278" t="s">
        <v>230</v>
      </c>
      <c r="D13" s="279">
        <v>165</v>
      </c>
      <c r="E13" s="8">
        <f t="shared" si="0"/>
        <v>56.571428571428569</v>
      </c>
      <c r="F13" s="3">
        <f t="shared" si="1"/>
        <v>377.50068343055682</v>
      </c>
      <c r="G13" s="279">
        <v>70</v>
      </c>
      <c r="H13" s="8">
        <f t="shared" si="2"/>
        <v>9.3333333333333339</v>
      </c>
      <c r="I13" s="3">
        <f t="shared" si="3"/>
        <v>63.791932109184259</v>
      </c>
      <c r="J13" s="279">
        <v>46</v>
      </c>
      <c r="K13" s="8">
        <f t="shared" si="4"/>
        <v>9.1999999999999993</v>
      </c>
      <c r="L13" s="3">
        <f t="shared" si="5"/>
        <v>50</v>
      </c>
      <c r="M13" s="279">
        <v>22</v>
      </c>
      <c r="N13" s="8">
        <f t="shared" si="6"/>
        <v>3.6666666666666665</v>
      </c>
      <c r="O13" s="3">
        <f t="shared" si="7"/>
        <v>30.788328500996037</v>
      </c>
      <c r="P13" s="279">
        <v>75</v>
      </c>
      <c r="Q13" s="8">
        <f t="shared" si="8"/>
        <v>8.3333333333333339</v>
      </c>
      <c r="R13" s="3">
        <f t="shared" si="9"/>
        <v>63.37148720338439</v>
      </c>
      <c r="S13">
        <v>13</v>
      </c>
      <c r="T13" s="8">
        <f t="shared" si="10"/>
        <v>3.25</v>
      </c>
      <c r="U13" s="3">
        <f t="shared" si="11"/>
        <v>38.705743009659493</v>
      </c>
    </row>
    <row r="14" spans="1:21" ht="27" x14ac:dyDescent="0.45">
      <c r="A14" s="95">
        <v>7</v>
      </c>
      <c r="B14" s="277">
        <v>651201115</v>
      </c>
      <c r="C14" s="278" t="s">
        <v>231</v>
      </c>
      <c r="D14" s="279">
        <v>158</v>
      </c>
      <c r="E14" s="8">
        <f t="shared" si="0"/>
        <v>54.171428571428571</v>
      </c>
      <c r="F14" s="3">
        <f t="shared" si="1"/>
        <v>305.16671222870377</v>
      </c>
      <c r="G14" s="279">
        <v>60</v>
      </c>
      <c r="H14" s="8">
        <f t="shared" si="2"/>
        <v>8</v>
      </c>
      <c r="I14" s="3">
        <f t="shared" si="3"/>
        <v>50</v>
      </c>
      <c r="J14" s="279">
        <v>38</v>
      </c>
      <c r="K14" s="8">
        <f t="shared" si="4"/>
        <v>7.6</v>
      </c>
      <c r="L14" s="3">
        <f t="shared" si="5"/>
        <v>50</v>
      </c>
      <c r="M14" s="279">
        <v>18</v>
      </c>
      <c r="N14" s="8">
        <f t="shared" si="6"/>
        <v>3</v>
      </c>
      <c r="O14" s="3">
        <f t="shared" si="7"/>
        <v>22.368941590456345</v>
      </c>
      <c r="P14" s="279">
        <v>64</v>
      </c>
      <c r="Q14" s="8">
        <f t="shared" si="8"/>
        <v>7.1111111111111107</v>
      </c>
      <c r="R14" s="3">
        <f t="shared" si="9"/>
        <v>37.222801116766028</v>
      </c>
      <c r="S14">
        <v>18</v>
      </c>
      <c r="T14" s="8">
        <f t="shared" si="10"/>
        <v>4.5</v>
      </c>
      <c r="U14" s="3">
        <f t="shared" si="11"/>
        <v>59.240755719369503</v>
      </c>
    </row>
    <row r="15" spans="1:21" ht="27" x14ac:dyDescent="0.45">
      <c r="A15" s="95">
        <v>8</v>
      </c>
      <c r="B15" s="277">
        <v>651201116</v>
      </c>
      <c r="C15" s="278" t="s">
        <v>232</v>
      </c>
      <c r="D15" s="279">
        <v>156</v>
      </c>
      <c r="E15" s="8">
        <f t="shared" si="0"/>
        <v>53.485714285714288</v>
      </c>
      <c r="F15" s="3">
        <f t="shared" si="1"/>
        <v>284.49986331388862</v>
      </c>
      <c r="G15" s="279">
        <v>62</v>
      </c>
      <c r="H15" s="8">
        <f t="shared" si="2"/>
        <v>8.2666666666666675</v>
      </c>
      <c r="I15" s="3">
        <f t="shared" si="3"/>
        <v>52.758386421836853</v>
      </c>
      <c r="J15" s="279">
        <v>38</v>
      </c>
      <c r="K15" s="8">
        <f t="shared" si="4"/>
        <v>7.6</v>
      </c>
      <c r="L15" s="3">
        <f t="shared" si="5"/>
        <v>50</v>
      </c>
      <c r="M15" s="279">
        <v>22</v>
      </c>
      <c r="N15" s="8">
        <f t="shared" si="6"/>
        <v>3.6666666666666665</v>
      </c>
      <c r="O15" s="3">
        <f t="shared" si="7"/>
        <v>30.788328500996037</v>
      </c>
      <c r="P15" s="279">
        <v>70</v>
      </c>
      <c r="Q15" s="8">
        <f t="shared" si="8"/>
        <v>7.7777777777777777</v>
      </c>
      <c r="R15" s="3">
        <f t="shared" si="9"/>
        <v>51.485720800376043</v>
      </c>
      <c r="S15">
        <v>13</v>
      </c>
      <c r="T15" s="8">
        <f t="shared" si="10"/>
        <v>3.25</v>
      </c>
      <c r="U15" s="3">
        <f t="shared" si="11"/>
        <v>38.705743009659493</v>
      </c>
    </row>
    <row r="16" spans="1:21" ht="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ht="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21" x14ac:dyDescent="0.35">
      <c r="A18" s="2"/>
      <c r="B18" s="2"/>
      <c r="C18" s="42" t="s">
        <v>13</v>
      </c>
      <c r="D18" s="9">
        <f>AVERAGE($D$8:$D$17)</f>
        <v>157.5</v>
      </c>
      <c r="E18" s="2"/>
      <c r="F18" s="2"/>
      <c r="G18" s="9">
        <f>AVERAGE($G$8:$G$17)</f>
        <v>60</v>
      </c>
      <c r="H18" s="1"/>
      <c r="I18" s="1"/>
      <c r="J18" s="9">
        <f>AVERAGE($J$8:$J$17)</f>
        <v>39</v>
      </c>
      <c r="K18" s="1"/>
      <c r="L18" s="1"/>
      <c r="M18" s="9">
        <f>AVERAGE($M$8:$M$17)</f>
        <v>19.25</v>
      </c>
      <c r="N18" s="1"/>
      <c r="O18" s="1"/>
      <c r="P18" s="9">
        <f>AVERAGE($P$8:$P$17)</f>
        <v>69.375</v>
      </c>
      <c r="Q18" s="1"/>
      <c r="R18" s="1"/>
      <c r="S18" s="9">
        <f>AVERAGE($S$8:$S$17)</f>
        <v>15.75</v>
      </c>
      <c r="T18" s="1"/>
      <c r="U18" s="1"/>
    </row>
    <row r="19" spans="1:21" ht="21" x14ac:dyDescent="0.35">
      <c r="A19" s="2"/>
      <c r="B19" s="2"/>
      <c r="C19" s="42" t="s">
        <v>14</v>
      </c>
      <c r="D19" s="9">
        <f>STDEV($D$8:$D$17)</f>
        <v>5.8064004094004504</v>
      </c>
      <c r="E19" s="2"/>
      <c r="F19" s="2"/>
      <c r="G19" s="9">
        <f>STDEV($G$8:$G$17)</f>
        <v>7.250615737399726</v>
      </c>
      <c r="H19" s="1"/>
      <c r="I19" s="1"/>
      <c r="J19" s="9">
        <f>STDEV($J$8:$J$17)</f>
        <v>4.6904157598234297</v>
      </c>
      <c r="K19" s="1"/>
      <c r="L19" s="1"/>
      <c r="M19" s="9">
        <f>STDEV($M$8:$M$17)</f>
        <v>2.3754698783308417</v>
      </c>
      <c r="N19" s="1"/>
      <c r="O19" s="1"/>
      <c r="P19" s="9">
        <f>STDEV($P$8:$P$17)</f>
        <v>4.2067123233504535</v>
      </c>
      <c r="Q19" s="1"/>
      <c r="R19" s="1"/>
      <c r="S19" s="9">
        <f>STDEV(S8:S17)</f>
        <v>2.4348657927227588</v>
      </c>
      <c r="T19" s="1"/>
      <c r="U19" s="1"/>
    </row>
    <row r="20" spans="1:21" ht="21" x14ac:dyDescent="0.2">
      <c r="A20" s="2"/>
      <c r="B20" s="2"/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21" x14ac:dyDescent="0.2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21" x14ac:dyDescent="0.2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ht="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66" x14ac:dyDescent="0.35">
      <c r="A24" s="6">
        <v>1</v>
      </c>
      <c r="B24" s="38">
        <f>B8</f>
        <v>651201109</v>
      </c>
      <c r="C24" s="39" t="str">
        <f>C8</f>
        <v>นางสาวขวัญเนตร ปาริสาเก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66" x14ac:dyDescent="0.35">
      <c r="A25" s="6">
        <v>2</v>
      </c>
      <c r="B25" s="38">
        <f t="shared" ref="B25:C33" si="12">B9</f>
        <v>651201110</v>
      </c>
      <c r="C25" s="39" t="str">
        <f t="shared" si="12"/>
        <v>นางสาวเข็มทิพย์ ดาวช่วย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66" x14ac:dyDescent="0.35">
      <c r="A26" s="6">
        <v>3</v>
      </c>
      <c r="B26" s="38">
        <f t="shared" si="12"/>
        <v>651201111</v>
      </c>
      <c r="C26" s="39" t="str">
        <f t="shared" si="12"/>
        <v>นางสาวคัชรินทร์ อินทร์จา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66" x14ac:dyDescent="0.35">
      <c r="A27" s="6">
        <v>4</v>
      </c>
      <c r="B27" s="38">
        <f t="shared" si="12"/>
        <v>651201112</v>
      </c>
      <c r="C27" s="39" t="str">
        <f t="shared" si="12"/>
        <v>นางสาวจันทร์โฉม หงษ์ทอง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66" x14ac:dyDescent="0.35">
      <c r="A28" s="6">
        <v>5</v>
      </c>
      <c r="B28" s="38">
        <f t="shared" si="12"/>
        <v>651201113</v>
      </c>
      <c r="C28" s="39" t="str">
        <f t="shared" si="12"/>
        <v>นางสาวจิดาภา พิเศษฤทธิ์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44" x14ac:dyDescent="0.35">
      <c r="A29" s="6">
        <v>6</v>
      </c>
      <c r="B29" s="38">
        <f t="shared" si="12"/>
        <v>651201114</v>
      </c>
      <c r="C29" s="39" t="str">
        <f t="shared" si="12"/>
        <v>นางสาวจิตรลดา กนั ชัยภูมิ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44" x14ac:dyDescent="0.35">
      <c r="A30" s="6">
        <v>7</v>
      </c>
      <c r="B30" s="38">
        <f t="shared" si="12"/>
        <v>651201115</v>
      </c>
      <c r="C30" s="39" t="str">
        <f t="shared" si="12"/>
        <v>นางสาวจิราภรณ์ ภูขาว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44" x14ac:dyDescent="0.35">
      <c r="A31" s="6">
        <v>8</v>
      </c>
      <c r="B31" s="38">
        <f t="shared" si="12"/>
        <v>651201116</v>
      </c>
      <c r="C31" s="39" t="str">
        <f t="shared" si="12"/>
        <v>นางสาวจุฑาทิพย์ ชาวนาแปน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ht="21" x14ac:dyDescent="0.35">
      <c r="A32" s="6">
        <v>9</v>
      </c>
      <c r="B32" s="38">
        <f t="shared" si="12"/>
        <v>0</v>
      </c>
      <c r="C32" s="39">
        <f t="shared" si="12"/>
        <v>0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ht="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ht="21" x14ac:dyDescent="0.35">
      <c r="A34" s="2"/>
      <c r="B34" s="2"/>
      <c r="C34" s="42" t="s">
        <v>13</v>
      </c>
      <c r="D34" s="9" t="e">
        <f>AVERAGE($D$24:$D$33)</f>
        <v>#DIV/0!</v>
      </c>
      <c r="E34" s="1"/>
      <c r="F34" s="1"/>
      <c r="G34" s="9" t="e">
        <f>AVERAGE($G$24:$G$33)</f>
        <v>#DIV/0!</v>
      </c>
      <c r="H34" s="1"/>
      <c r="I34" s="1"/>
      <c r="J34" s="9" t="e">
        <f>AVERAGE($J$24:$J$33)</f>
        <v>#DIV/0!</v>
      </c>
      <c r="K34" s="1"/>
      <c r="L34" s="1"/>
      <c r="M34" s="9" t="e">
        <f>AVERAGE($M$24:$M$33)</f>
        <v>#DIV/0!</v>
      </c>
      <c r="N34" s="1"/>
      <c r="O34" s="1"/>
      <c r="P34" s="9" t="e">
        <f>AVERAGE($P$24:$P$33)</f>
        <v>#DIV/0!</v>
      </c>
      <c r="Q34" s="1"/>
      <c r="R34" s="1"/>
      <c r="S34" s="72" t="e">
        <f>AVERAGE($S$24:$S$33)</f>
        <v>#DIV/0!</v>
      </c>
      <c r="T34" s="1"/>
      <c r="U34" s="1"/>
    </row>
    <row r="35" spans="1:21" ht="21" x14ac:dyDescent="0.35">
      <c r="A35" s="2"/>
      <c r="B35" s="2"/>
      <c r="C35" s="42" t="s">
        <v>14</v>
      </c>
      <c r="D35" s="9" t="e">
        <f>STDEV($D$24:$D$33)</f>
        <v>#DIV/0!</v>
      </c>
      <c r="E35" s="1"/>
      <c r="F35" s="5"/>
      <c r="G35" s="9" t="e">
        <f>STDEV($G$24:$G$33)</f>
        <v>#DIV/0!</v>
      </c>
      <c r="H35" s="1"/>
      <c r="I35" s="1"/>
      <c r="J35" s="9" t="e">
        <f>STDEV($J$24:$J$33)</f>
        <v>#DIV/0!</v>
      </c>
      <c r="K35" s="1"/>
      <c r="L35" s="5"/>
      <c r="M35" s="9" t="e">
        <f>STDEV($M$24:$M$33)</f>
        <v>#DIV/0!</v>
      </c>
      <c r="N35" s="1"/>
      <c r="O35" s="1"/>
      <c r="P35" s="9" t="e">
        <f>STDEV($P$24:$P$33)</f>
        <v>#DIV/0!</v>
      </c>
      <c r="Q35" s="1"/>
      <c r="R35" s="1"/>
      <c r="S35" s="72" t="e">
        <f>STDEV($S$24:$S$33)</f>
        <v>#DIV/0!</v>
      </c>
      <c r="T35" s="1"/>
      <c r="U35" s="1"/>
    </row>
    <row r="36" spans="1:21" ht="21" x14ac:dyDescent="0.35">
      <c r="A36" s="2"/>
      <c r="B36" s="2"/>
      <c r="C36" s="42"/>
      <c r="D36" s="9"/>
      <c r="E36" s="1"/>
      <c r="F36" s="5"/>
      <c r="G36" s="9" t="s">
        <v>2</v>
      </c>
      <c r="H36" s="1"/>
      <c r="I36" s="1"/>
      <c r="J36" s="9"/>
      <c r="K36" s="1"/>
      <c r="L36" s="5"/>
      <c r="M36" s="9"/>
      <c r="N36" s="1"/>
      <c r="O36" s="1"/>
      <c r="P36" s="1" t="s">
        <v>2</v>
      </c>
      <c r="Q36" s="1"/>
      <c r="R36" s="1"/>
      <c r="S36" s="1"/>
      <c r="T36" s="1"/>
      <c r="U36" s="1"/>
    </row>
    <row r="37" spans="1:21" ht="21" x14ac:dyDescent="0.35">
      <c r="A37" s="2"/>
      <c r="B37" s="2"/>
      <c r="C37" s="2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1"/>
      <c r="T37" s="1"/>
      <c r="U37" s="1"/>
    </row>
    <row r="38" spans="1:21" ht="21" x14ac:dyDescent="0.2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ht="21" x14ac:dyDescent="0.2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ht="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66" x14ac:dyDescent="0.35">
      <c r="A41" s="6">
        <v>1</v>
      </c>
      <c r="B41" s="38">
        <f>B8</f>
        <v>651201109</v>
      </c>
      <c r="C41" s="39" t="str">
        <f>C8</f>
        <v>นางสาวขวัญเนตร ปาริสาเก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66" x14ac:dyDescent="0.35">
      <c r="A42" s="6">
        <v>2</v>
      </c>
      <c r="B42" s="38">
        <f t="shared" ref="B42:C50" si="25">B9</f>
        <v>651201110</v>
      </c>
      <c r="C42" s="39" t="str">
        <f t="shared" si="25"/>
        <v>นางสาวเข็มทิพย์ ดาวช่วย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66" x14ac:dyDescent="0.35">
      <c r="A43" s="6">
        <v>3</v>
      </c>
      <c r="B43" s="38">
        <f t="shared" si="25"/>
        <v>651201111</v>
      </c>
      <c r="C43" s="39" t="str">
        <f t="shared" si="25"/>
        <v>นางสาวคัชรินทร์ อินทร์จา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66" x14ac:dyDescent="0.35">
      <c r="A44" s="6">
        <v>4</v>
      </c>
      <c r="B44" s="38">
        <f t="shared" si="25"/>
        <v>651201112</v>
      </c>
      <c r="C44" s="39" t="str">
        <f t="shared" si="25"/>
        <v>นางสาวจันทร์โฉม หงษ์ทอง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66" x14ac:dyDescent="0.35">
      <c r="A45" s="6">
        <v>5</v>
      </c>
      <c r="B45" s="38">
        <f t="shared" si="25"/>
        <v>651201113</v>
      </c>
      <c r="C45" s="39" t="str">
        <f t="shared" si="25"/>
        <v>นางสาวจิดาภา พิเศษฤทธิ์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44" x14ac:dyDescent="0.35">
      <c r="A46" s="6">
        <v>6</v>
      </c>
      <c r="B46" s="38">
        <f t="shared" si="25"/>
        <v>651201114</v>
      </c>
      <c r="C46" s="39" t="str">
        <f t="shared" si="25"/>
        <v>นางสาวจิตรลดา กนั ชัยภูมิ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44" x14ac:dyDescent="0.35">
      <c r="A47" s="6">
        <v>7</v>
      </c>
      <c r="B47" s="38">
        <f t="shared" si="25"/>
        <v>651201115</v>
      </c>
      <c r="C47" s="39" t="str">
        <f t="shared" si="25"/>
        <v>นางสาวจิราภรณ์ ภูขาว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44" x14ac:dyDescent="0.35">
      <c r="A48" s="6">
        <v>8</v>
      </c>
      <c r="B48" s="38">
        <f t="shared" si="25"/>
        <v>651201116</v>
      </c>
      <c r="C48" s="39" t="str">
        <f t="shared" si="25"/>
        <v>นางสาวจุฑาทิพย์ ชาวนาแปน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ht="21" x14ac:dyDescent="0.35">
      <c r="A49" s="6">
        <v>9</v>
      </c>
      <c r="B49" s="38">
        <f t="shared" si="25"/>
        <v>0</v>
      </c>
      <c r="C49" s="39">
        <f t="shared" si="25"/>
        <v>0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ht="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ht="21" x14ac:dyDescent="0.35">
      <c r="A51" s="2"/>
      <c r="B51" s="2"/>
      <c r="C51" s="42" t="s">
        <v>13</v>
      </c>
      <c r="D51" s="9" t="e">
        <f>AVERAGE($D$41:$D$50)</f>
        <v>#DIV/0!</v>
      </c>
      <c r="E51" s="1"/>
      <c r="F51" s="1"/>
      <c r="G51" s="9" t="e">
        <f>AVERAGE($G$41:$G$50)</f>
        <v>#DIV/0!</v>
      </c>
      <c r="H51" s="1"/>
      <c r="I51" s="1"/>
      <c r="J51" s="9" t="e">
        <f>AVERAGE($J$41:$J$50)</f>
        <v>#DIV/0!</v>
      </c>
      <c r="K51" s="1"/>
      <c r="L51" s="1"/>
      <c r="M51" s="9" t="e">
        <f>AVERAGE($M$41:$M$50)</f>
        <v>#DIV/0!</v>
      </c>
      <c r="N51" s="1"/>
      <c r="O51" s="1"/>
      <c r="P51" s="9" t="e">
        <f>AVERAGE($P$41:$P$50)</f>
        <v>#DIV/0!</v>
      </c>
      <c r="Q51" s="1"/>
      <c r="R51" s="1"/>
      <c r="S51" s="9" t="e">
        <f>AVERAGE($S$41:$S$50)</f>
        <v>#DIV/0!</v>
      </c>
      <c r="T51" s="1"/>
      <c r="U51" s="1"/>
    </row>
    <row r="52" spans="1:21" ht="21" x14ac:dyDescent="0.35">
      <c r="A52" s="2"/>
      <c r="B52" s="2"/>
      <c r="C52" s="42" t="s">
        <v>14</v>
      </c>
      <c r="D52" s="9" t="e">
        <f>STDEV($D$41:$D$50)</f>
        <v>#DIV/0!</v>
      </c>
      <c r="E52" s="1"/>
      <c r="F52" s="5"/>
      <c r="G52" s="9" t="e">
        <f>STDEV($G$41:$G$50)</f>
        <v>#DIV/0!</v>
      </c>
      <c r="H52" s="1"/>
      <c r="I52" s="1"/>
      <c r="J52" s="9" t="e">
        <f>STDEV($J$41:$J$50)</f>
        <v>#DIV/0!</v>
      </c>
      <c r="K52" s="1"/>
      <c r="L52" s="1"/>
      <c r="M52" s="9" t="e">
        <f>STDEV($M$41:$M$50)</f>
        <v>#DIV/0!</v>
      </c>
      <c r="N52" s="1"/>
      <c r="O52" s="5"/>
      <c r="P52" s="9" t="e">
        <f>STDEV($P$41:$P$50)</f>
        <v>#DIV/0!</v>
      </c>
      <c r="Q52" s="1"/>
      <c r="R52" s="5"/>
      <c r="S52" s="9" t="e">
        <f>STDEV($S$41:$S$50)</f>
        <v>#DIV/0!</v>
      </c>
      <c r="T52" s="1"/>
      <c r="U52" s="1"/>
    </row>
    <row r="53" spans="1:21" ht="21" x14ac:dyDescent="0.35">
      <c r="A53" s="2"/>
      <c r="B53" s="2"/>
      <c r="C53" s="42"/>
      <c r="D53" s="9"/>
      <c r="E53" s="1"/>
      <c r="F53" s="5"/>
      <c r="G53" s="9"/>
      <c r="H53" s="1"/>
      <c r="I53" s="1"/>
      <c r="J53" s="9"/>
      <c r="K53" s="1"/>
      <c r="L53" s="5"/>
      <c r="M53" s="9"/>
      <c r="N53" s="1"/>
      <c r="O53" s="1"/>
      <c r="P53" s="1" t="s">
        <v>2</v>
      </c>
      <c r="Q53" s="1"/>
      <c r="R53" s="1"/>
      <c r="S53" s="1"/>
      <c r="T53" s="1"/>
      <c r="U53" s="1"/>
    </row>
    <row r="54" spans="1:21" ht="21" x14ac:dyDescent="0.35">
      <c r="A54" s="2"/>
      <c r="B54" s="2"/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1"/>
      <c r="T54" s="1"/>
      <c r="U54" s="1"/>
    </row>
    <row r="55" spans="1:21" ht="2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21" x14ac:dyDescent="0.2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ht="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66" x14ac:dyDescent="0.35">
      <c r="A58" s="6">
        <v>1</v>
      </c>
      <c r="B58" s="38">
        <f>B8</f>
        <v>651201109</v>
      </c>
      <c r="C58" s="73" t="str">
        <f>C8</f>
        <v>นางสาวขวัญเนตร ปาริสาเก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66" x14ac:dyDescent="0.35">
      <c r="A59" s="6">
        <v>2</v>
      </c>
      <c r="B59" s="38">
        <f t="shared" ref="B59:C67" si="38">B9</f>
        <v>651201110</v>
      </c>
      <c r="C59" s="73" t="str">
        <f t="shared" si="38"/>
        <v>นางสาวเข็มทิพย์ ดาวช่วย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44" x14ac:dyDescent="0.35">
      <c r="A60" s="6">
        <v>3</v>
      </c>
      <c r="B60" s="38">
        <f t="shared" si="38"/>
        <v>651201111</v>
      </c>
      <c r="C60" s="73" t="str">
        <f t="shared" si="38"/>
        <v>นางสาวคัชรินทร์ อินทร์จา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66" x14ac:dyDescent="0.35">
      <c r="A61" s="6">
        <v>4</v>
      </c>
      <c r="B61" s="38">
        <f t="shared" si="38"/>
        <v>651201112</v>
      </c>
      <c r="C61" s="73" t="str">
        <f t="shared" si="38"/>
        <v>นางสาวจันทร์โฉม หงษ์ทอง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66" x14ac:dyDescent="0.35">
      <c r="A62" s="6">
        <v>5</v>
      </c>
      <c r="B62" s="38">
        <f t="shared" si="38"/>
        <v>651201113</v>
      </c>
      <c r="C62" s="73" t="str">
        <f t="shared" si="38"/>
        <v>นางสาวจิดาภา พิเศษฤทธิ์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44" x14ac:dyDescent="0.35">
      <c r="A63" s="6">
        <v>6</v>
      </c>
      <c r="B63" s="38">
        <f t="shared" si="38"/>
        <v>651201114</v>
      </c>
      <c r="C63" s="73" t="str">
        <f t="shared" si="38"/>
        <v>นางสาวจิตรลดา กนั ชัยภูมิ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44" x14ac:dyDescent="0.35">
      <c r="A64" s="6">
        <v>7</v>
      </c>
      <c r="B64" s="38">
        <f t="shared" si="38"/>
        <v>651201115</v>
      </c>
      <c r="C64" s="73" t="str">
        <f t="shared" si="38"/>
        <v>นางสาวจิราภรณ์ ภูขาว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44" x14ac:dyDescent="0.35">
      <c r="A65" s="6">
        <v>8</v>
      </c>
      <c r="B65" s="38">
        <f t="shared" si="38"/>
        <v>651201116</v>
      </c>
      <c r="C65" s="73" t="str">
        <f t="shared" si="38"/>
        <v>นางสาวจุฑาทิพย์ ชาวนาแปน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ht="21" x14ac:dyDescent="0.35">
      <c r="A66" s="6">
        <v>9</v>
      </c>
      <c r="B66" s="38">
        <f t="shared" si="38"/>
        <v>0</v>
      </c>
      <c r="C66" s="73">
        <f t="shared" si="38"/>
        <v>0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ht="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ht="21" x14ac:dyDescent="0.35">
      <c r="A68" s="2"/>
      <c r="B68" s="2"/>
      <c r="C68" s="42" t="s">
        <v>13</v>
      </c>
      <c r="D68" s="9" t="e">
        <f>AVERAGE($D$58:$D$67)</f>
        <v>#DIV/0!</v>
      </c>
      <c r="E68" s="1"/>
      <c r="F68" s="1"/>
      <c r="G68" s="9" t="e">
        <f>AVERAGE($G$58:$G$67)</f>
        <v>#DIV/0!</v>
      </c>
      <c r="H68" s="1"/>
      <c r="I68" s="1"/>
      <c r="J68" s="9" t="e">
        <f>AVERAGE($J$58:$J$67)</f>
        <v>#DIV/0!</v>
      </c>
      <c r="K68" s="1"/>
      <c r="L68" s="1"/>
      <c r="M68" s="9" t="e">
        <f>AVERAGE($M$58:$M$67)</f>
        <v>#DIV/0!</v>
      </c>
      <c r="N68" s="1"/>
      <c r="O68" s="1"/>
      <c r="P68" s="9" t="e">
        <f>AVERAGE($P$58:$P$67)</f>
        <v>#DIV/0!</v>
      </c>
      <c r="Q68" s="1"/>
      <c r="R68" s="1"/>
      <c r="S68" s="9" t="e">
        <f>AVERAGE($S$58:$S$67)</f>
        <v>#DIV/0!</v>
      </c>
      <c r="T68" s="1"/>
      <c r="U68" s="1"/>
    </row>
    <row r="69" spans="1:21" ht="21" x14ac:dyDescent="0.35">
      <c r="A69" s="2"/>
      <c r="B69" s="2"/>
      <c r="C69" s="42" t="s">
        <v>14</v>
      </c>
      <c r="D69" s="9" t="e">
        <f>STDEV($D$58:$D$67)</f>
        <v>#DIV/0!</v>
      </c>
      <c r="E69" s="1"/>
      <c r="F69" s="5"/>
      <c r="G69" s="9" t="e">
        <f>STDEV($G$58:$G$67)</f>
        <v>#DIV/0!</v>
      </c>
      <c r="H69" s="1"/>
      <c r="I69" s="1"/>
      <c r="J69" s="9" t="e">
        <f>STDEV($J$58:$J$67)</f>
        <v>#DIV/0!</v>
      </c>
      <c r="K69" s="1"/>
      <c r="L69" s="1"/>
      <c r="M69" s="9" t="e">
        <f>STDEV($M$41:$M$50)</f>
        <v>#DIV/0!</v>
      </c>
      <c r="N69" s="1"/>
      <c r="O69" s="5"/>
      <c r="P69" s="9" t="e">
        <f>STDEV($P$58:$P$67)</f>
        <v>#DIV/0!</v>
      </c>
      <c r="Q69" s="1"/>
      <c r="R69" s="5"/>
      <c r="S69" s="9" t="e">
        <f>STDEV($S$58:$S$67)</f>
        <v>#DIV/0!</v>
      </c>
      <c r="T69" s="1"/>
      <c r="U69" s="1"/>
    </row>
    <row r="70" spans="1:21" ht="21" x14ac:dyDescent="0.35">
      <c r="A70" s="2"/>
      <c r="B70" s="2"/>
      <c r="C70" s="42"/>
      <c r="D70" s="9"/>
      <c r="E70" s="1"/>
      <c r="F70" s="5"/>
      <c r="G70" s="9"/>
      <c r="H70" s="1"/>
      <c r="I70" s="1"/>
      <c r="J70" s="9"/>
      <c r="K70" s="1"/>
      <c r="L70" s="5"/>
      <c r="M70" s="9"/>
      <c r="N70" s="1"/>
      <c r="O70" s="1"/>
      <c r="P70" s="1"/>
      <c r="Q70" s="1"/>
      <c r="R70" s="1"/>
      <c r="S70" s="1"/>
      <c r="T70" s="1"/>
      <c r="U70" s="1"/>
    </row>
    <row r="71" spans="1:21" ht="21" x14ac:dyDescent="0.35">
      <c r="A71" s="2"/>
      <c r="B71" s="2"/>
      <c r="C71" s="42"/>
      <c r="D71" s="9"/>
      <c r="E71" s="1"/>
      <c r="F71" s="5"/>
      <c r="G71" s="9"/>
      <c r="H71" s="1"/>
      <c r="I71" s="1"/>
      <c r="J71" s="9"/>
      <c r="K71" s="1"/>
      <c r="L71" s="5"/>
      <c r="M71" s="9"/>
      <c r="N71" s="1"/>
      <c r="O71" s="1"/>
      <c r="P71" s="1"/>
      <c r="Q71" s="1"/>
      <c r="R71" s="1"/>
      <c r="S71" s="1"/>
      <c r="T71" s="1"/>
      <c r="U71" s="1"/>
    </row>
    <row r="72" spans="1:21" ht="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ht="21" x14ac:dyDescent="0.2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ht="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66" x14ac:dyDescent="0.35">
      <c r="A75" s="6">
        <f>A8</f>
        <v>1</v>
      </c>
      <c r="B75" s="38">
        <f>B8</f>
        <v>651201109</v>
      </c>
      <c r="C75" s="39" t="str">
        <f>C8</f>
        <v>นางสาวขวัญเนตร ปาริสาเก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66" x14ac:dyDescent="0.35">
      <c r="A76" s="6">
        <f t="shared" ref="A76:C84" si="51">A9</f>
        <v>2</v>
      </c>
      <c r="B76" s="38">
        <f t="shared" si="51"/>
        <v>651201110</v>
      </c>
      <c r="C76" s="39" t="str">
        <f t="shared" si="51"/>
        <v>นางสาวเข็มทิพย์ ดาวช่วย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66" x14ac:dyDescent="0.35">
      <c r="A77" s="6">
        <f t="shared" si="51"/>
        <v>3</v>
      </c>
      <c r="B77" s="38">
        <f t="shared" si="51"/>
        <v>651201111</v>
      </c>
      <c r="C77" s="39" t="str">
        <f t="shared" si="51"/>
        <v>นางสาวคัชรินทร์ อินทร์จา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66" x14ac:dyDescent="0.35">
      <c r="A78" s="6">
        <f t="shared" si="51"/>
        <v>4</v>
      </c>
      <c r="B78" s="38">
        <f t="shared" si="51"/>
        <v>651201112</v>
      </c>
      <c r="C78" s="39" t="str">
        <f t="shared" si="51"/>
        <v>นางสาวจันทร์โฉม หงษ์ทอง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66" x14ac:dyDescent="0.35">
      <c r="A79" s="6">
        <f t="shared" si="51"/>
        <v>5</v>
      </c>
      <c r="B79" s="38">
        <f t="shared" si="51"/>
        <v>651201113</v>
      </c>
      <c r="C79" s="39" t="str">
        <f t="shared" si="51"/>
        <v>นางสาวจิดาภา พิเศษฤทธิ์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44" x14ac:dyDescent="0.35">
      <c r="A80" s="6">
        <f t="shared" si="51"/>
        <v>6</v>
      </c>
      <c r="B80" s="38">
        <f t="shared" si="51"/>
        <v>651201114</v>
      </c>
      <c r="C80" s="39" t="str">
        <f t="shared" si="51"/>
        <v>นางสาวจิตรลดา กนั ชัยภูมิ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44" x14ac:dyDescent="0.35">
      <c r="A81" s="6">
        <f t="shared" si="51"/>
        <v>7</v>
      </c>
      <c r="B81" s="38">
        <f t="shared" si="51"/>
        <v>651201115</v>
      </c>
      <c r="C81" s="39" t="str">
        <f t="shared" si="51"/>
        <v>นางสาวจิราภรณ์ ภูขาว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44" x14ac:dyDescent="0.35">
      <c r="A82" s="6">
        <f t="shared" si="51"/>
        <v>8</v>
      </c>
      <c r="B82" s="38">
        <f t="shared" si="51"/>
        <v>651201116</v>
      </c>
      <c r="C82" s="39" t="str">
        <f t="shared" si="51"/>
        <v>นางสาวจุฑาทิพย์ ชาวนาแปน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ht="21" x14ac:dyDescent="0.35">
      <c r="A83" s="6">
        <f t="shared" si="51"/>
        <v>9</v>
      </c>
      <c r="B83" s="38">
        <f t="shared" si="51"/>
        <v>0</v>
      </c>
      <c r="C83" s="39">
        <f t="shared" si="51"/>
        <v>0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ht="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ht="21" x14ac:dyDescent="0.35">
      <c r="A85" s="2"/>
      <c r="B85" s="2"/>
      <c r="C85" s="42" t="s">
        <v>13</v>
      </c>
      <c r="D85" s="9" t="e">
        <f>AVERAGE($D$75:$D$84)</f>
        <v>#DIV/0!</v>
      </c>
      <c r="E85" s="1"/>
      <c r="F85" s="1"/>
      <c r="G85" s="9" t="e">
        <f>AVERAGE($G$75:$G$84)</f>
        <v>#DIV/0!</v>
      </c>
      <c r="H85" s="1"/>
      <c r="I85" s="1"/>
      <c r="J85" s="9" t="e">
        <f>AVERAGE($J$75:$J$84)</f>
        <v>#DIV/0!</v>
      </c>
      <c r="K85" s="1"/>
      <c r="L85" s="1"/>
      <c r="M85" s="9" t="e">
        <f>AVERAGE($M$75:$M$84)</f>
        <v>#DIV/0!</v>
      </c>
      <c r="N85" s="1"/>
      <c r="O85" s="1"/>
      <c r="P85" s="9" t="e">
        <f>AVERAGE($P$75:$P$84)</f>
        <v>#DIV/0!</v>
      </c>
      <c r="Q85" s="1"/>
      <c r="R85" s="1"/>
      <c r="S85" s="9" t="e">
        <f>AVERAGE($S$75:$S$84)</f>
        <v>#DIV/0!</v>
      </c>
      <c r="T85" s="1"/>
      <c r="U85" s="1"/>
    </row>
    <row r="86" spans="1:21" ht="21" x14ac:dyDescent="0.35">
      <c r="A86" s="2"/>
      <c r="B86" s="2"/>
      <c r="C86" s="42" t="s">
        <v>14</v>
      </c>
      <c r="D86" s="9" t="e">
        <f>STDEV($D$75:$D$84)</f>
        <v>#DIV/0!</v>
      </c>
      <c r="E86" s="1"/>
      <c r="F86" s="5"/>
      <c r="G86" s="9" t="e">
        <f>STDEV($G$75:$G$84)</f>
        <v>#DIV/0!</v>
      </c>
      <c r="H86" s="1"/>
      <c r="I86" s="1"/>
      <c r="J86" s="9" t="e">
        <f>STDEV(J75:J84)</f>
        <v>#DIV/0!</v>
      </c>
      <c r="K86" s="1"/>
      <c r="L86" s="5"/>
      <c r="M86" s="9" t="e">
        <f>STDEV($M$75:$M$84)</f>
        <v>#DIV/0!</v>
      </c>
      <c r="N86" s="1"/>
      <c r="O86" s="1"/>
      <c r="P86" s="9" t="e">
        <f>STDEV(P75:P84)</f>
        <v>#DIV/0!</v>
      </c>
      <c r="Q86" s="1"/>
      <c r="R86" s="1"/>
      <c r="S86" s="9" t="e">
        <f>STDEV($S$75:$S$84)</f>
        <v>#DIV/0!</v>
      </c>
      <c r="T86" s="1"/>
      <c r="U86" s="1"/>
    </row>
    <row r="87" spans="1:21" ht="21" x14ac:dyDescent="0.35">
      <c r="A87" s="2"/>
      <c r="B87" s="2"/>
      <c r="C87" s="42"/>
      <c r="D87" s="9"/>
      <c r="E87" s="1"/>
      <c r="F87" s="5"/>
      <c r="G87" s="9"/>
      <c r="H87" s="1"/>
      <c r="I87" s="1"/>
      <c r="J87" s="9"/>
      <c r="K87" s="1"/>
      <c r="L87" s="5"/>
      <c r="M87" s="9"/>
      <c r="N87" s="1"/>
      <c r="O87" s="1"/>
      <c r="P87" s="1" t="s">
        <v>2</v>
      </c>
      <c r="Q87" s="1"/>
      <c r="R87" s="1"/>
      <c r="S87" s="1"/>
      <c r="T87" s="1"/>
      <c r="U87" s="1"/>
    </row>
    <row r="88" spans="1:21" ht="21" x14ac:dyDescent="0.35">
      <c r="A88" s="2"/>
      <c r="B88" s="2"/>
      <c r="C88" s="42"/>
      <c r="D88" s="9"/>
      <c r="E88" s="1"/>
      <c r="F88" s="5"/>
      <c r="G88" s="9"/>
      <c r="H88" s="1"/>
      <c r="I88" s="1"/>
      <c r="J88" s="9"/>
      <c r="K88" s="1"/>
      <c r="L88" s="5"/>
      <c r="M88" s="9"/>
      <c r="N88" s="1"/>
      <c r="O88" s="1"/>
      <c r="P88" s="1"/>
      <c r="Q88" s="1"/>
      <c r="R88" s="1"/>
      <c r="S88" s="1"/>
      <c r="T88" s="1"/>
      <c r="U88" s="1"/>
    </row>
    <row r="89" spans="1:21" ht="21" x14ac:dyDescent="0.35">
      <c r="A89" s="2"/>
      <c r="B89" s="85" t="s">
        <v>148</v>
      </c>
      <c r="C89" s="42"/>
      <c r="D89" s="9"/>
      <c r="E89" s="1"/>
      <c r="F89" s="5"/>
      <c r="G89" s="9"/>
      <c r="H89" s="1"/>
      <c r="I89" s="1"/>
      <c r="J89" s="9"/>
      <c r="K89" s="1"/>
      <c r="L89" s="5"/>
      <c r="M89" s="9"/>
      <c r="N89" s="1"/>
      <c r="O89" s="1"/>
      <c r="P89" s="9"/>
      <c r="Q89" s="1"/>
      <c r="R89" s="1"/>
      <c r="S89" s="1"/>
      <c r="T89" s="1"/>
      <c r="U89" s="1"/>
    </row>
    <row r="90" spans="1:21" ht="21" x14ac:dyDescent="0.35">
      <c r="A90" s="2"/>
      <c r="B90" s="2"/>
      <c r="C90" s="42"/>
      <c r="D90" s="9"/>
      <c r="E90" s="1"/>
      <c r="F90" s="5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L91" s="1"/>
      <c r="M91" s="1"/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  <c r="U91" s="1"/>
    </row>
    <row r="92" spans="1:21" ht="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2</v>
      </c>
      <c r="K92" s="7">
        <f>ROUND((J92*100)/$J$101,2)</f>
        <v>25</v>
      </c>
      <c r="L92" s="1"/>
      <c r="M92" s="1"/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  <c r="U92" s="1"/>
    </row>
    <row r="93" spans="1:21" ht="21" x14ac:dyDescent="0.35">
      <c r="A93" s="6">
        <f>A8</f>
        <v>1</v>
      </c>
      <c r="B93" s="6">
        <f t="shared" ref="B93:C93" si="64">B8</f>
        <v>651201109</v>
      </c>
      <c r="C93" s="78" t="str">
        <f t="shared" si="64"/>
        <v>นางสาวขวัญเนตร ปาริสาเก</v>
      </c>
      <c r="D93" s="3">
        <f>ROUND(SUM(E8,H8,K8,N8,Q8,T8,E24,H24,K24,N24,Q24,T24,E41,H41,K41,N41,Q41,T41,E58,H58,K58,N58,Q58,T58,E75,H75,K75,N75,Q75,T75),2)</f>
        <v>84.88</v>
      </c>
      <c r="E93" s="8">
        <f>ROUND(SUM(F8,I8,L8,O8,R8,U8,F24,I24,L24,O24,R24,U24,F41,I41,L41,O41,R41,U41,F58,I58,L58,O58,R58,U58,F75,I75,L75,O75,R75,U75),2)</f>
        <v>540.53</v>
      </c>
      <c r="F93" s="204" t="str">
        <f t="shared" ref="F93:F102" si="65">IF(D93=0,"-",IF(D93&gt;=$R$92,$T$92,IF(D93&gt;=$R$93,$T$93,IF(D93&gt;=$R$94,$T$94,IF(D93&gt;=$R$95,$T$95,IF(D93&gt;=$R$96,$T$96,$T$97))))))</f>
        <v>B+</v>
      </c>
      <c r="G93" s="204"/>
      <c r="H93" s="80"/>
      <c r="I93" s="81" t="s">
        <v>111</v>
      </c>
      <c r="J93" s="77">
        <f t="shared" ref="J93:J100" si="66">COUNTIF($F$93:$G$102,I93)</f>
        <v>4</v>
      </c>
      <c r="K93" s="7">
        <f t="shared" ref="K93:K101" si="67">ROUND((J93*100)/$J$101,2)</f>
        <v>50</v>
      </c>
      <c r="L93" s="1"/>
      <c r="M93" s="1"/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  <c r="U93" s="1"/>
    </row>
    <row r="94" spans="1:21" ht="21" x14ac:dyDescent="0.35">
      <c r="A94" s="6">
        <f t="shared" ref="A94:C102" si="68">A9</f>
        <v>2</v>
      </c>
      <c r="B94" s="6">
        <f t="shared" si="68"/>
        <v>651201110</v>
      </c>
      <c r="C94" s="78" t="str">
        <f t="shared" si="68"/>
        <v>นางสาวเข็มทิพย์ ดาวช่วย</v>
      </c>
      <c r="D94" s="3">
        <f t="shared" ref="D94:E102" si="69">ROUND(SUM(E9,H9,K9,N9,Q9,T9,E25,H25,K25,N25,Q25,T25,E42,H42,K42,N42,Q42,T42,E59,H59,K59,N59,Q59,T59,E76,H76,K76,N76,Q76,T76),2)</f>
        <v>90.89</v>
      </c>
      <c r="E94" s="8">
        <f t="shared" si="69"/>
        <v>637.83000000000004</v>
      </c>
      <c r="F94" s="204" t="str">
        <f t="shared" si="65"/>
        <v>A</v>
      </c>
      <c r="G94" s="204"/>
      <c r="H94" s="80"/>
      <c r="I94" s="77" t="s">
        <v>110</v>
      </c>
      <c r="J94" s="77">
        <f t="shared" si="66"/>
        <v>2</v>
      </c>
      <c r="K94" s="7">
        <f t="shared" si="67"/>
        <v>25</v>
      </c>
      <c r="L94" s="1"/>
      <c r="M94" s="1"/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  <c r="U94" s="1"/>
    </row>
    <row r="95" spans="1:21" ht="21" x14ac:dyDescent="0.35">
      <c r="A95" s="6">
        <f t="shared" si="68"/>
        <v>3</v>
      </c>
      <c r="B95" s="6">
        <f t="shared" si="68"/>
        <v>651201111</v>
      </c>
      <c r="C95" s="78" t="str">
        <f t="shared" si="68"/>
        <v>นางสาวคัชรินทร์ อินทร์จา</v>
      </c>
      <c r="D95" s="3">
        <f t="shared" si="69"/>
        <v>84.11</v>
      </c>
      <c r="E95" s="8">
        <f t="shared" si="69"/>
        <v>513.49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L95" s="1"/>
      <c r="M95" s="1"/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  <c r="U95" s="1"/>
    </row>
    <row r="96" spans="1:21" ht="21" x14ac:dyDescent="0.35">
      <c r="A96" s="6">
        <f t="shared" si="68"/>
        <v>4</v>
      </c>
      <c r="B96" s="6">
        <f t="shared" si="68"/>
        <v>651201112</v>
      </c>
      <c r="C96" s="78" t="str">
        <f t="shared" si="68"/>
        <v>นางสาวจันทร์โฉม หงษ์ทอง</v>
      </c>
      <c r="D96" s="3">
        <f t="shared" si="69"/>
        <v>79.319999999999993</v>
      </c>
      <c r="E96" s="8">
        <f t="shared" si="69"/>
        <v>413.18</v>
      </c>
      <c r="F96" s="204" t="str">
        <f t="shared" si="65"/>
        <v>B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L96" s="1"/>
      <c r="M96" s="1"/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  <c r="U96" s="1"/>
    </row>
    <row r="97" spans="1:21" ht="21" x14ac:dyDescent="0.35">
      <c r="A97" s="6">
        <f t="shared" si="68"/>
        <v>5</v>
      </c>
      <c r="B97" s="6">
        <f t="shared" si="68"/>
        <v>651201113</v>
      </c>
      <c r="C97" s="78" t="str">
        <f t="shared" si="68"/>
        <v>นางสาวจิดาภา พิเศษฤทธิ์</v>
      </c>
      <c r="D97" s="3">
        <f t="shared" si="69"/>
        <v>79.25</v>
      </c>
      <c r="E97" s="8">
        <f t="shared" si="69"/>
        <v>432.19</v>
      </c>
      <c r="F97" s="204" t="str">
        <f t="shared" si="65"/>
        <v>B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L97" s="1"/>
      <c r="M97" s="1"/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  <c r="U97" s="1"/>
    </row>
    <row r="98" spans="1:21" ht="21" x14ac:dyDescent="0.35">
      <c r="A98" s="6">
        <f t="shared" si="68"/>
        <v>6</v>
      </c>
      <c r="B98" s="6">
        <f t="shared" si="68"/>
        <v>651201114</v>
      </c>
      <c r="C98" s="78" t="str">
        <f t="shared" si="68"/>
        <v>นางสาวจิตรลดา กนั ชัยภูมิ</v>
      </c>
      <c r="D98" s="3">
        <f t="shared" si="69"/>
        <v>90.35</v>
      </c>
      <c r="E98" s="8">
        <f t="shared" si="69"/>
        <v>624.16</v>
      </c>
      <c r="F98" s="204" t="str">
        <f t="shared" si="65"/>
        <v>A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  <c r="S98" s="1"/>
      <c r="T98" s="1"/>
      <c r="U98" s="1"/>
    </row>
    <row r="99" spans="1:21" ht="21" x14ac:dyDescent="0.35">
      <c r="A99" s="6">
        <f t="shared" si="68"/>
        <v>7</v>
      </c>
      <c r="B99" s="6">
        <f t="shared" si="68"/>
        <v>651201115</v>
      </c>
      <c r="C99" s="78" t="str">
        <f t="shared" si="68"/>
        <v>นางสาวจิราภรณ์ ภูขาว</v>
      </c>
      <c r="D99" s="3">
        <f t="shared" si="69"/>
        <v>84.38</v>
      </c>
      <c r="E99" s="8">
        <f t="shared" si="69"/>
        <v>524</v>
      </c>
      <c r="F99" s="204" t="str">
        <f t="shared" si="65"/>
        <v>B+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  <c r="S99" s="1"/>
      <c r="T99" s="1"/>
      <c r="U99" s="1"/>
    </row>
    <row r="100" spans="1:21" ht="21" x14ac:dyDescent="0.35">
      <c r="A100" s="6">
        <f t="shared" si="68"/>
        <v>8</v>
      </c>
      <c r="B100" s="6">
        <f t="shared" si="68"/>
        <v>651201116</v>
      </c>
      <c r="C100" s="78" t="str">
        <f t="shared" si="68"/>
        <v>นางสาวจุฑาทิพย์ ชาวนาแปน</v>
      </c>
      <c r="D100" s="3">
        <f t="shared" si="69"/>
        <v>84.05</v>
      </c>
      <c r="E100" s="8">
        <f t="shared" si="69"/>
        <v>508.24</v>
      </c>
      <c r="F100" s="204" t="str">
        <f t="shared" si="65"/>
        <v>B+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  <c r="S100" s="1"/>
      <c r="T100" s="1"/>
      <c r="U100" s="1"/>
    </row>
    <row r="101" spans="1:21" ht="21" x14ac:dyDescent="0.35">
      <c r="A101" s="6">
        <f t="shared" si="68"/>
        <v>9</v>
      </c>
      <c r="B101" s="6">
        <f t="shared" si="68"/>
        <v>0</v>
      </c>
      <c r="C101" s="78">
        <f t="shared" si="68"/>
        <v>0</v>
      </c>
      <c r="D101" s="3">
        <f t="shared" si="69"/>
        <v>0</v>
      </c>
      <c r="E101" s="8">
        <f t="shared" si="69"/>
        <v>0</v>
      </c>
      <c r="F101" s="204" t="str">
        <f t="shared" si="65"/>
        <v>-</v>
      </c>
      <c r="G101" s="204"/>
      <c r="H101" s="80"/>
      <c r="I101" s="83" t="s">
        <v>1</v>
      </c>
      <c r="J101" s="83">
        <f>SUM(J92:J100)</f>
        <v>8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  <c r="S101" s="1"/>
      <c r="T101" s="1"/>
      <c r="U101" s="1"/>
    </row>
    <row r="102" spans="1:21" ht="21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 x14ac:dyDescent="0.35">
      <c r="A103" s="2"/>
      <c r="B103" s="2"/>
      <c r="C103" s="79"/>
      <c r="D103" s="19"/>
      <c r="E103" s="19"/>
      <c r="F103" s="42"/>
      <c r="G103" s="42"/>
      <c r="H103" s="42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 x14ac:dyDescent="0.35">
      <c r="A104" s="2"/>
      <c r="B104" s="2"/>
      <c r="C104" s="2"/>
      <c r="D104" s="1"/>
      <c r="E104" s="1"/>
      <c r="F104" s="1"/>
      <c r="G104" s="1"/>
      <c r="H104" s="1"/>
      <c r="I104" s="45"/>
      <c r="J104" s="4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 x14ac:dyDescent="0.35">
      <c r="A105" s="2"/>
      <c r="B105" s="85" t="s">
        <v>147</v>
      </c>
      <c r="C105" s="2"/>
      <c r="D105" s="1"/>
      <c r="E105" s="1"/>
      <c r="F105" s="1"/>
      <c r="G105" s="1"/>
      <c r="H105" s="1"/>
      <c r="I105" s="45"/>
      <c r="J105" s="45"/>
      <c r="K105" s="45"/>
      <c r="L105" s="1" t="s">
        <v>2</v>
      </c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H106" s="1"/>
      <c r="I106" s="5" t="s">
        <v>38</v>
      </c>
      <c r="J106" s="9"/>
      <c r="K106" s="1"/>
      <c r="L106" s="5"/>
      <c r="M106" s="1"/>
      <c r="N106" s="1"/>
      <c r="O106" s="5" t="s">
        <v>39</v>
      </c>
      <c r="P106" s="1"/>
      <c r="Q106" s="9"/>
      <c r="R106" s="1"/>
      <c r="S106" s="1"/>
      <c r="T106" s="1"/>
      <c r="U106" s="1"/>
    </row>
    <row r="107" spans="1:21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H107" s="1"/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N107" s="1"/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  <c r="U107" s="1"/>
    </row>
    <row r="108" spans="1:21" ht="21" x14ac:dyDescent="0.35">
      <c r="A108" s="6">
        <f>A8</f>
        <v>1</v>
      </c>
      <c r="B108" s="6">
        <f t="shared" ref="B108:C108" si="70">B8</f>
        <v>651201109</v>
      </c>
      <c r="C108" s="78" t="str">
        <f t="shared" si="70"/>
        <v>นางสาวขวัญเนตร ปาริสาเก</v>
      </c>
      <c r="D108" s="3">
        <f>ROUND(SUM(E8,H8,K8,N8,Q8,T8,E24,H24,K24,N24,Q24,T24,E41,H41,K41,N41,Q41,T41,E58,H58,K58,N58,Q58,T58,E75,H75,K75,N75,Q75,T75),2)</f>
        <v>84.88</v>
      </c>
      <c r="E108" s="3">
        <f>ROUND(SUM(F8,I8,L8,O8,R8,U8,F24,I24,L24,O24,R24,U24,F41,I41,L41,O41,R41,U41,F58,I58,L58,O58,R58,U58,F75,I75,L75,O75,R75,U75),2)</f>
        <v>540.53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B+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H108" s="1"/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N108" s="1"/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  <c r="U108" s="1"/>
    </row>
    <row r="109" spans="1:21" ht="21" x14ac:dyDescent="0.35">
      <c r="A109" s="6">
        <f t="shared" ref="A109:C117" si="72">A9</f>
        <v>2</v>
      </c>
      <c r="B109" s="6">
        <f t="shared" si="72"/>
        <v>651201110</v>
      </c>
      <c r="C109" s="78" t="str">
        <f t="shared" si="72"/>
        <v>นางสาวเข็มทิพย์ ดาวช่วย</v>
      </c>
      <c r="D109" s="3">
        <f t="shared" ref="D109:E117" si="73">ROUND(SUM(E9,H9,K9,N9,Q9,T9,E25,H25,K25,N25,Q25,T25,E42,H42,K42,N42,Q42,T42,E59,H59,K59,N59,Q59,T59,E76,H76,K76,N76,Q76,T76),2)</f>
        <v>90.89</v>
      </c>
      <c r="E109" s="3">
        <f t="shared" si="73"/>
        <v>637.83000000000004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A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H109" s="1"/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N109" s="1"/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  <c r="U109" s="1"/>
    </row>
    <row r="110" spans="1:21" ht="21" x14ac:dyDescent="0.35">
      <c r="A110" s="6">
        <f t="shared" si="72"/>
        <v>3</v>
      </c>
      <c r="B110" s="6">
        <f t="shared" si="72"/>
        <v>651201111</v>
      </c>
      <c r="C110" s="78" t="str">
        <f t="shared" si="72"/>
        <v>นางสาวคัชรินทร์ อินทร์จา</v>
      </c>
      <c r="D110" s="3">
        <f t="shared" si="73"/>
        <v>84.11</v>
      </c>
      <c r="E110" s="3">
        <f t="shared" si="73"/>
        <v>513.49</v>
      </c>
      <c r="F110" s="7" t="str">
        <f t="shared" si="74"/>
        <v>B+</v>
      </c>
      <c r="G110" s="7" t="str">
        <f t="shared" si="75"/>
        <v>-</v>
      </c>
      <c r="H110" s="1"/>
      <c r="I110" s="47">
        <f>IF(OR($E$128=8,$E$128=6,$E$128=4),$J$111+0.01,"-")</f>
        <v>625.42999999999995</v>
      </c>
      <c r="J110" s="47">
        <f>IF(OR($E$128=8,$E$128=6,$E$128=4),$I$110+$E$129,"-")</f>
        <v>784.89</v>
      </c>
      <c r="K110" s="91">
        <f t="shared" si="76"/>
        <v>159.46000000000004</v>
      </c>
      <c r="L110" s="7" t="str">
        <f>IF($E$128=8,$C$126,IF($E$128=6,$C$125,IF($E$128=4,$C$124,"-")))</f>
        <v>A</v>
      </c>
      <c r="M110" s="27">
        <f t="shared" si="77"/>
        <v>1</v>
      </c>
      <c r="N110" s="1"/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  <c r="U110" s="1"/>
    </row>
    <row r="111" spans="1:21" ht="21" x14ac:dyDescent="0.35">
      <c r="A111" s="6">
        <f t="shared" si="72"/>
        <v>4</v>
      </c>
      <c r="B111" s="6">
        <f t="shared" si="72"/>
        <v>651201112</v>
      </c>
      <c r="C111" s="78" t="str">
        <f t="shared" si="72"/>
        <v>นางสาวจันทร์โฉม หงษ์ทอง</v>
      </c>
      <c r="D111" s="3">
        <f t="shared" si="73"/>
        <v>79.319999999999993</v>
      </c>
      <c r="E111" s="3">
        <f t="shared" si="73"/>
        <v>413.18</v>
      </c>
      <c r="F111" s="7" t="str">
        <f t="shared" si="74"/>
        <v>B</v>
      </c>
      <c r="G111" s="7" t="str">
        <f t="shared" si="75"/>
        <v>-</v>
      </c>
      <c r="H111" s="1"/>
      <c r="I111" s="88">
        <f>IF(OR($E$128=2,$E$128=4,$E$128=6,$E$128=8),$E$124,"-")</f>
        <v>465.96</v>
      </c>
      <c r="J111" s="61">
        <f>IF(OR($E$128=2,$E$128=4,$E$128=6,$E$128=8),$E$124+E129,"-")</f>
        <v>625.41999999999996</v>
      </c>
      <c r="K111" s="91">
        <f t="shared" si="76"/>
        <v>159.45999999999998</v>
      </c>
      <c r="L111" s="7" t="str">
        <f>IF($E$128=8,$C$127,IF($E$128=6,$C$126,IF($E$128=4,$C$125,IF($E$128=2,$C$124,"-"))))</f>
        <v>B+</v>
      </c>
      <c r="M111" s="27">
        <f t="shared" si="77"/>
        <v>5</v>
      </c>
      <c r="N111" s="1"/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  <c r="U111" s="1"/>
    </row>
    <row r="112" spans="1:21" ht="21" x14ac:dyDescent="0.35">
      <c r="A112" s="6">
        <f t="shared" si="72"/>
        <v>5</v>
      </c>
      <c r="B112" s="6">
        <f t="shared" si="72"/>
        <v>651201113</v>
      </c>
      <c r="C112" s="78" t="str">
        <f t="shared" si="72"/>
        <v>นางสาวจิดาภา พิเศษฤทธิ์</v>
      </c>
      <c r="D112" s="3">
        <f t="shared" si="73"/>
        <v>79.25</v>
      </c>
      <c r="E112" s="3">
        <f t="shared" si="73"/>
        <v>432.19</v>
      </c>
      <c r="F112" s="7" t="str">
        <f t="shared" si="74"/>
        <v>B</v>
      </c>
      <c r="G112" s="7" t="str">
        <f t="shared" si="75"/>
        <v>-</v>
      </c>
      <c r="H112" s="1"/>
      <c r="I112" s="47">
        <f>IF(OR($E$128=2,$E$128=4,$E$128=6,$E$128=8),$J$112-$E$129,"-")</f>
        <v>306.49</v>
      </c>
      <c r="J112" s="61">
        <f>IF(OR($E$128=2,$E$128=4,$E$128=6,$E$128=8),$E$124-0.01,"-")</f>
        <v>465.95</v>
      </c>
      <c r="K112" s="91">
        <f t="shared" si="76"/>
        <v>159.45999999999998</v>
      </c>
      <c r="L112" s="7" t="str">
        <f>IF($E$128=8,$C$128,IF($E$128=6,$C$127,IF($E$128=4,$C$126,IF($E$128=2,$C$125,"-"))))</f>
        <v>B</v>
      </c>
      <c r="M112" s="27">
        <f t="shared" si="77"/>
        <v>2</v>
      </c>
      <c r="N112" s="1"/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  <c r="U112" s="1"/>
    </row>
    <row r="113" spans="1:21" ht="21" x14ac:dyDescent="0.35">
      <c r="A113" s="6">
        <f t="shared" si="72"/>
        <v>6</v>
      </c>
      <c r="B113" s="6">
        <f t="shared" si="72"/>
        <v>651201114</v>
      </c>
      <c r="C113" s="78" t="str">
        <f t="shared" si="72"/>
        <v>นางสาวจิตรลดา กนั ชัยภูมิ</v>
      </c>
      <c r="D113" s="3">
        <f t="shared" si="73"/>
        <v>90.35</v>
      </c>
      <c r="E113" s="3">
        <f t="shared" si="73"/>
        <v>624.16</v>
      </c>
      <c r="F113" s="7" t="str">
        <f t="shared" si="74"/>
        <v>B+</v>
      </c>
      <c r="G113" s="7" t="str">
        <f t="shared" si="75"/>
        <v>-</v>
      </c>
      <c r="H113" s="1"/>
      <c r="I113" s="47">
        <f>IF(OR($E$128=4,$E$128=6,$E$128=8),$J$113-$E$129,"-")</f>
        <v>147.02000000000001</v>
      </c>
      <c r="J113" s="47">
        <f>IF(OR($E$128=8,$E$128=6,$E$128=4),$I$112-0.01,"-")</f>
        <v>306.48</v>
      </c>
      <c r="K113" s="91">
        <f t="shared" si="76"/>
        <v>159.46</v>
      </c>
      <c r="L113" s="7" t="str">
        <f>IF($E$128=8,$C$129,IF($E$128=6,$C$128,IF($E$128=4,$C$127,"-")))</f>
        <v>C+</v>
      </c>
      <c r="M113" s="27">
        <f t="shared" si="77"/>
        <v>0</v>
      </c>
      <c r="N113" s="1"/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  <c r="U113" s="1"/>
    </row>
    <row r="114" spans="1:21" ht="22" thickBot="1" x14ac:dyDescent="0.4">
      <c r="A114" s="6">
        <f t="shared" si="72"/>
        <v>7</v>
      </c>
      <c r="B114" s="6">
        <f t="shared" si="72"/>
        <v>651201115</v>
      </c>
      <c r="C114" s="78" t="str">
        <f t="shared" si="72"/>
        <v>นางสาวจิราภรณ์ ภูขาว</v>
      </c>
      <c r="D114" s="3">
        <f t="shared" si="73"/>
        <v>84.38</v>
      </c>
      <c r="E114" s="3">
        <f t="shared" si="73"/>
        <v>524</v>
      </c>
      <c r="F114" s="7" t="str">
        <f t="shared" si="74"/>
        <v>B+</v>
      </c>
      <c r="G114" s="7" t="str">
        <f t="shared" si="75"/>
        <v>-</v>
      </c>
      <c r="H114" s="1"/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N114" s="1"/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  <c r="U114" s="1"/>
    </row>
    <row r="115" spans="1:21" ht="22" thickBot="1" x14ac:dyDescent="0.4">
      <c r="A115" s="6">
        <f t="shared" si="72"/>
        <v>8</v>
      </c>
      <c r="B115" s="6">
        <f t="shared" si="72"/>
        <v>651201116</v>
      </c>
      <c r="C115" s="78" t="str">
        <f t="shared" si="72"/>
        <v>นางสาวจุฑาทิพย์ ชาวนาแปน</v>
      </c>
      <c r="D115" s="3">
        <f t="shared" si="73"/>
        <v>84.05</v>
      </c>
      <c r="E115" s="3">
        <f t="shared" si="73"/>
        <v>508.24</v>
      </c>
      <c r="F115" s="7" t="str">
        <f t="shared" si="74"/>
        <v>B+</v>
      </c>
      <c r="G115" s="7" t="str">
        <f t="shared" si="75"/>
        <v>-</v>
      </c>
      <c r="H115" s="1"/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N115" s="1"/>
      <c r="O115" s="259" t="s">
        <v>1</v>
      </c>
      <c r="P115" s="259"/>
      <c r="Q115" s="259"/>
      <c r="R115" s="259"/>
      <c r="S115" s="259"/>
      <c r="T115" s="94">
        <f>SUM(T108:T114)</f>
        <v>0</v>
      </c>
      <c r="U115" s="1"/>
    </row>
    <row r="116" spans="1:21" ht="22" thickBot="1" x14ac:dyDescent="0.4">
      <c r="A116" s="6">
        <f t="shared" si="72"/>
        <v>9</v>
      </c>
      <c r="B116" s="6">
        <f t="shared" si="72"/>
        <v>0</v>
      </c>
      <c r="C116" s="78">
        <f t="shared" si="72"/>
        <v>0</v>
      </c>
      <c r="D116" s="3">
        <f t="shared" si="73"/>
        <v>0</v>
      </c>
      <c r="E116" s="3">
        <f t="shared" si="73"/>
        <v>0</v>
      </c>
      <c r="F116" s="7" t="str">
        <f t="shared" si="74"/>
        <v>I/E</v>
      </c>
      <c r="G116" s="7" t="str">
        <f t="shared" si="75"/>
        <v>-</v>
      </c>
      <c r="H116" s="1"/>
      <c r="I116" s="218" t="s">
        <v>1</v>
      </c>
      <c r="J116" s="219"/>
      <c r="K116" s="219"/>
      <c r="L116" s="220"/>
      <c r="M116" s="94">
        <f>SUM(M108:M115)</f>
        <v>8</v>
      </c>
      <c r="N116" s="1"/>
      <c r="O116" s="1"/>
      <c r="P116" s="1"/>
      <c r="Q116" s="1"/>
      <c r="R116" s="1"/>
      <c r="S116" s="1"/>
      <c r="T116" s="1"/>
      <c r="U116" s="1"/>
    </row>
    <row r="117" spans="1:21" ht="21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 x14ac:dyDescent="0.35">
      <c r="A118" s="2"/>
      <c r="B118" s="2"/>
      <c r="C118" s="79"/>
      <c r="D118" s="9"/>
      <c r="E118" s="9"/>
      <c r="F118" s="42"/>
      <c r="G118" s="4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 x14ac:dyDescent="0.35">
      <c r="A119" s="2"/>
      <c r="B119" s="2"/>
      <c r="C119" s="79"/>
      <c r="D119" s="9"/>
      <c r="E119" s="9"/>
      <c r="F119" s="42"/>
      <c r="G119" s="4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 x14ac:dyDescent="0.35">
      <c r="A120" s="2"/>
      <c r="B120" s="2"/>
      <c r="C120" s="79"/>
      <c r="D120" s="9"/>
      <c r="E120" s="9"/>
      <c r="F120" s="42"/>
      <c r="G120" s="4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 x14ac:dyDescent="0.35">
      <c r="A121" s="2"/>
      <c r="B121" s="2"/>
      <c r="C121" s="79"/>
      <c r="D121" s="9"/>
      <c r="E121" s="9"/>
      <c r="F121" s="42"/>
      <c r="G121" s="4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 x14ac:dyDescent="0.35">
      <c r="A122" s="2"/>
      <c r="B122" s="2"/>
      <c r="C122" s="79"/>
      <c r="D122" s="9"/>
      <c r="E122" s="9"/>
      <c r="F122" s="42"/>
      <c r="G122" s="4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 x14ac:dyDescent="0.35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 x14ac:dyDescent="0.35">
      <c r="A124" s="2"/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465.96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 x14ac:dyDescent="0.35">
      <c r="A125" s="2"/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637.83000000000004</v>
      </c>
      <c r="F125" s="1"/>
      <c r="G125" s="1"/>
      <c r="H125" s="1"/>
      <c r="I125" s="1"/>
      <c r="J125" s="1"/>
      <c r="K125" s="1"/>
      <c r="L125" s="1"/>
      <c r="M125" s="1"/>
      <c r="N125" s="1"/>
      <c r="O125" s="1" t="s">
        <v>154</v>
      </c>
      <c r="P125" s="1"/>
      <c r="Q125" s="1"/>
      <c r="R125" s="1"/>
      <c r="S125" s="1"/>
      <c r="T125" s="1"/>
      <c r="U125" s="1"/>
    </row>
    <row r="126" spans="1:21" ht="21" x14ac:dyDescent="0.35">
      <c r="A126" s="2"/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>
        <v>1</v>
      </c>
      <c r="P126" s="1" t="s">
        <v>137</v>
      </c>
      <c r="Q126" s="1"/>
      <c r="R126" s="1"/>
      <c r="S126" s="1"/>
      <c r="T126" s="1"/>
      <c r="U126" s="1"/>
    </row>
    <row r="127" spans="1:21" ht="21" x14ac:dyDescent="0.35">
      <c r="A127" s="2"/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637.83000000000004</v>
      </c>
      <c r="F127" s="1"/>
      <c r="G127" s="1"/>
      <c r="H127" s="1"/>
      <c r="I127" s="1"/>
      <c r="J127" s="1"/>
      <c r="K127" s="1"/>
      <c r="L127" s="1"/>
      <c r="M127" s="1"/>
      <c r="N127" s="1"/>
      <c r="O127" s="1">
        <v>2</v>
      </c>
      <c r="P127" s="1" t="s">
        <v>155</v>
      </c>
      <c r="Q127" s="1"/>
      <c r="R127" s="1"/>
      <c r="S127" s="1"/>
      <c r="T127" s="1"/>
      <c r="U127" s="1"/>
    </row>
    <row r="128" spans="1:21" ht="21" x14ac:dyDescent="0.35">
      <c r="A128" s="2"/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G128" s="1"/>
      <c r="H128" s="1"/>
      <c r="I128" s="1"/>
      <c r="J128" s="1"/>
      <c r="K128" s="1"/>
      <c r="L128" s="1"/>
      <c r="M128" s="1"/>
      <c r="N128" s="1"/>
      <c r="O128" s="1">
        <v>3</v>
      </c>
      <c r="P128" s="1" t="s">
        <v>156</v>
      </c>
      <c r="Q128" s="1"/>
      <c r="R128" s="1"/>
      <c r="S128" s="1"/>
      <c r="T128" s="1"/>
      <c r="U128" s="1"/>
    </row>
    <row r="129" spans="1:21" ht="21" x14ac:dyDescent="0.35">
      <c r="A129" s="2"/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159.46</v>
      </c>
      <c r="F129" s="1"/>
      <c r="G129" s="1"/>
      <c r="H129" s="1"/>
      <c r="I129" s="1"/>
      <c r="J129" s="1"/>
      <c r="K129" s="1"/>
      <c r="L129" s="1"/>
      <c r="M129" s="1"/>
      <c r="N129" s="1"/>
      <c r="O129" s="202"/>
      <c r="P129" s="202"/>
      <c r="Q129" s="202"/>
      <c r="R129" s="202"/>
      <c r="S129" s="202"/>
      <c r="T129" s="1"/>
      <c r="U129" s="1"/>
    </row>
    <row r="130" spans="1:21" ht="21" x14ac:dyDescent="0.35">
      <c r="A130" s="2"/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G130" s="1"/>
      <c r="H130" s="1"/>
      <c r="I130" s="1"/>
      <c r="J130" s="1"/>
      <c r="K130" s="1"/>
      <c r="L130" s="1"/>
      <c r="M130" s="1"/>
      <c r="N130" s="1"/>
      <c r="O130" s="202"/>
      <c r="P130" s="202"/>
      <c r="Q130" s="202"/>
      <c r="R130" s="202"/>
      <c r="S130" s="202"/>
      <c r="T130" s="1"/>
      <c r="U130" s="1"/>
    </row>
    <row r="131" spans="1:21" ht="21" x14ac:dyDescent="0.35">
      <c r="A131" s="2"/>
      <c r="B131" s="6">
        <f>$B$124-3.5</f>
        <v>0.5</v>
      </c>
      <c r="C131" s="6" t="str">
        <f t="shared" si="80"/>
        <v>E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1"/>
      <c r="P131" s="221"/>
      <c r="Q131" s="221"/>
      <c r="R131" s="221"/>
      <c r="S131" s="221"/>
      <c r="T131" s="1"/>
      <c r="U131" s="1"/>
    </row>
    <row r="132" spans="1:21" ht="21" x14ac:dyDescent="0.35">
      <c r="A132" s="2"/>
      <c r="B132" s="6">
        <f>$B$124-4</f>
        <v>0</v>
      </c>
      <c r="C132" s="6" t="str">
        <f>IF(B132=4,"A",IF(B132=3.5,"B+",IF(B132=3,"B",IF(B132=2.5,"C+",IF(B132=2,"C",IF(B132=1.5,"D+",IF(B132=1,"D","E")))))))</f>
        <v>E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 x14ac:dyDescent="0.35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 x14ac:dyDescent="0.35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 x14ac:dyDescent="0.35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 x14ac:dyDescent="0.35">
      <c r="A136" s="2"/>
      <c r="B136" s="2"/>
      <c r="C136" s="256" t="s">
        <v>188</v>
      </c>
      <c r="D136" s="256"/>
      <c r="E136" s="256"/>
      <c r="F136" s="1"/>
      <c r="G136" s="1">
        <v>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 x14ac:dyDescent="0.35">
      <c r="A139" s="6">
        <f>A8</f>
        <v>1</v>
      </c>
      <c r="B139" s="6">
        <f t="shared" ref="B139:C139" si="81">B8</f>
        <v>651201109</v>
      </c>
      <c r="C139" s="78" t="str">
        <f t="shared" si="81"/>
        <v>นางสาวขวัญเนตร ปาริสาเก</v>
      </c>
      <c r="D139" s="3">
        <f>D93</f>
        <v>84.88</v>
      </c>
      <c r="E139" s="3">
        <f>E93</f>
        <v>540.53</v>
      </c>
      <c r="F139" s="204" t="str">
        <f>IF($G$136=1,F93,IF($G$136=2,F108,G108))</f>
        <v>B+</v>
      </c>
      <c r="G139" s="20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 x14ac:dyDescent="0.35">
      <c r="A140" s="6">
        <f t="shared" ref="A140:C148" si="82">A9</f>
        <v>2</v>
      </c>
      <c r="B140" s="6">
        <f t="shared" si="82"/>
        <v>651201110</v>
      </c>
      <c r="C140" s="78" t="str">
        <f t="shared" si="82"/>
        <v>นางสาวเข็มทิพย์ ดาวช่วย</v>
      </c>
      <c r="D140" s="3">
        <f t="shared" ref="D140:E148" si="83">D94</f>
        <v>90.89</v>
      </c>
      <c r="E140" s="3">
        <f t="shared" si="83"/>
        <v>637.83000000000004</v>
      </c>
      <c r="F140" s="204" t="str">
        <f t="shared" ref="F140:F148" si="84">IF($G$136=1,F94,IF($G$136=2,F109,G109))</f>
        <v>A</v>
      </c>
      <c r="G140" s="20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 x14ac:dyDescent="0.35">
      <c r="A141" s="6">
        <f t="shared" si="82"/>
        <v>3</v>
      </c>
      <c r="B141" s="6">
        <f t="shared" si="82"/>
        <v>651201111</v>
      </c>
      <c r="C141" s="78" t="str">
        <f t="shared" si="82"/>
        <v>นางสาวคัชรินทร์ อินทร์จา</v>
      </c>
      <c r="D141" s="3">
        <f t="shared" si="83"/>
        <v>84.11</v>
      </c>
      <c r="E141" s="3">
        <f t="shared" si="83"/>
        <v>513.49</v>
      </c>
      <c r="F141" s="204" t="str">
        <f t="shared" si="84"/>
        <v>B+</v>
      </c>
      <c r="G141" s="20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 x14ac:dyDescent="0.35">
      <c r="A142" s="6">
        <f t="shared" si="82"/>
        <v>4</v>
      </c>
      <c r="B142" s="6">
        <f t="shared" si="82"/>
        <v>651201112</v>
      </c>
      <c r="C142" s="78" t="str">
        <f t="shared" si="82"/>
        <v>นางสาวจันทร์โฉม หงษ์ทอง</v>
      </c>
      <c r="D142" s="3">
        <f t="shared" si="83"/>
        <v>79.319999999999993</v>
      </c>
      <c r="E142" s="3">
        <f t="shared" si="83"/>
        <v>413.18</v>
      </c>
      <c r="F142" s="204" t="str">
        <f t="shared" si="84"/>
        <v>B</v>
      </c>
      <c r="G142" s="20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 x14ac:dyDescent="0.35">
      <c r="A143" s="6">
        <f t="shared" si="82"/>
        <v>5</v>
      </c>
      <c r="B143" s="6">
        <f t="shared" si="82"/>
        <v>651201113</v>
      </c>
      <c r="C143" s="78" t="str">
        <f t="shared" si="82"/>
        <v>นางสาวจิดาภา พิเศษฤทธิ์</v>
      </c>
      <c r="D143" s="3">
        <f t="shared" si="83"/>
        <v>79.25</v>
      </c>
      <c r="E143" s="3">
        <f t="shared" si="83"/>
        <v>432.19</v>
      </c>
      <c r="F143" s="204" t="str">
        <f t="shared" si="84"/>
        <v>B</v>
      </c>
      <c r="G143" s="20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 x14ac:dyDescent="0.35">
      <c r="A144" s="6">
        <f t="shared" si="82"/>
        <v>6</v>
      </c>
      <c r="B144" s="6">
        <f t="shared" si="82"/>
        <v>651201114</v>
      </c>
      <c r="C144" s="78" t="str">
        <f t="shared" si="82"/>
        <v>นางสาวจิตรลดา กนั ชัยภูมิ</v>
      </c>
      <c r="D144" s="3">
        <f t="shared" si="83"/>
        <v>90.35</v>
      </c>
      <c r="E144" s="3">
        <f t="shared" si="83"/>
        <v>624.16</v>
      </c>
      <c r="F144" s="204" t="str">
        <f t="shared" si="84"/>
        <v>A</v>
      </c>
      <c r="G144" s="20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 x14ac:dyDescent="0.35">
      <c r="A145" s="6">
        <f t="shared" si="82"/>
        <v>7</v>
      </c>
      <c r="B145" s="6">
        <f t="shared" si="82"/>
        <v>651201115</v>
      </c>
      <c r="C145" s="78" t="str">
        <f t="shared" si="82"/>
        <v>นางสาวจิราภรณ์ ภูขาว</v>
      </c>
      <c r="D145" s="3">
        <f t="shared" si="83"/>
        <v>84.38</v>
      </c>
      <c r="E145" s="3">
        <f t="shared" si="83"/>
        <v>524</v>
      </c>
      <c r="F145" s="204" t="str">
        <f t="shared" si="84"/>
        <v>B+</v>
      </c>
      <c r="G145" s="20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 x14ac:dyDescent="0.35">
      <c r="A146" s="6">
        <f t="shared" si="82"/>
        <v>8</v>
      </c>
      <c r="B146" s="6">
        <f t="shared" si="82"/>
        <v>651201116</v>
      </c>
      <c r="C146" s="78" t="str">
        <f t="shared" si="82"/>
        <v>นางสาวจุฑาทิพย์ ชาวนาแปน</v>
      </c>
      <c r="D146" s="3">
        <f t="shared" si="83"/>
        <v>84.05</v>
      </c>
      <c r="E146" s="3">
        <f t="shared" si="83"/>
        <v>508.24</v>
      </c>
      <c r="F146" s="204" t="str">
        <f t="shared" si="84"/>
        <v>B+</v>
      </c>
      <c r="G146" s="20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 x14ac:dyDescent="0.35">
      <c r="A147" s="6">
        <f t="shared" si="82"/>
        <v>9</v>
      </c>
      <c r="B147" s="6">
        <f t="shared" si="82"/>
        <v>0</v>
      </c>
      <c r="C147" s="78">
        <f t="shared" si="82"/>
        <v>0</v>
      </c>
      <c r="D147" s="3">
        <f t="shared" si="83"/>
        <v>0</v>
      </c>
      <c r="E147" s="3">
        <f t="shared" si="83"/>
        <v>0</v>
      </c>
      <c r="F147" s="204" t="str">
        <f t="shared" si="84"/>
        <v>-</v>
      </c>
      <c r="G147" s="20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 x14ac:dyDescent="0.35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</sheetData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2513" r:id="rId3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127000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316E-4BFE-584C-B5D1-731703137D51}">
  <sheetPr>
    <tabColor theme="9" tint="0.59999389629810485"/>
  </sheetPr>
  <dimension ref="A1:U149"/>
  <sheetViews>
    <sheetView zoomScale="94" workbookViewId="0">
      <selection sqref="A1:U3"/>
    </sheetView>
  </sheetViews>
  <sheetFormatPr baseColWidth="10" defaultRowHeight="15" x14ac:dyDescent="0.2"/>
  <sheetData>
    <row r="1" spans="1:21" ht="21" x14ac:dyDescent="0.2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21" x14ac:dyDescent="0.2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1" x14ac:dyDescent="0.2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1" x14ac:dyDescent="0.35">
      <c r="A4" s="2"/>
      <c r="B4" s="2"/>
      <c r="C4" s="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1" x14ac:dyDescent="0.2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ht="21" x14ac:dyDescent="0.2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ht="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80">
        <v>651201117</v>
      </c>
      <c r="C8" s="280" t="s">
        <v>233</v>
      </c>
      <c r="D8" s="69">
        <v>140</v>
      </c>
      <c r="E8" s="61">
        <f>IF(D8="-","-",IF(D8=0,0,(D8*$E$7)/$D$7))</f>
        <v>48</v>
      </c>
      <c r="F8" s="201">
        <f>IF(D8="-","-",IF(D8=0,0,IF($D$19=0,50,(50+(10*(STANDARDIZE(D8,$D$18,$D$19)))))*$F$7))</f>
        <v>243.48127569395166</v>
      </c>
      <c r="G8" s="69">
        <v>60</v>
      </c>
      <c r="H8" s="61">
        <f>IF(G8="-","-",IF(G8=0,0,(G8*$H$7)/$G$7))</f>
        <v>8</v>
      </c>
      <c r="I8" s="201">
        <f>IF(G8="-","-",IF(G8=0,0,IF($G$19=0,50,(50+(10*(STANDARDIZE(G8,$G$18,$G$19)))))*$I$7))</f>
        <v>41.300211575454078</v>
      </c>
      <c r="J8" s="281">
        <v>45</v>
      </c>
      <c r="K8" s="8">
        <f>IF(J8="-","-",IF(J8=0,0,(J8*$K$7)/$J$7))</f>
        <v>9</v>
      </c>
      <c r="L8" s="3">
        <f>IF(J8="-","-",IF(J8=0,0,IF(J19=0,50,(50+(10*(STANDARDIZE(J8,$J$18,$J$19)))))*$L$7))</f>
        <v>39.627827266521507</v>
      </c>
      <c r="M8" s="69">
        <v>26</v>
      </c>
      <c r="N8" s="8">
        <f>IF(M8="-","-",IF(M8=0,0,(M8*$N$7)/$M$7))</f>
        <v>4.333333333333333</v>
      </c>
      <c r="O8" s="3">
        <f>IF(M8="-","-",IF(M8=0,0,IF($M$19=0,50,(50+(10*(STANDARDIZE(M8,$M$18,$M$19)))))*$O$7))</f>
        <v>18.087316427409881</v>
      </c>
      <c r="P8" s="69">
        <v>71</v>
      </c>
      <c r="Q8" s="8">
        <f>IF(P8="-","-",IF(P8=0,0,(P8*$Q$7)/$P$7))</f>
        <v>7.8888888888888893</v>
      </c>
      <c r="R8" s="3">
        <f>IF(P8="-","-",IF(P8=0,0,IF($P$19=0,50,(50+(10*(STANDARDIZE(P8,$P$18,$P$19)))))*$R$7))</f>
        <v>40</v>
      </c>
      <c r="S8">
        <v>11</v>
      </c>
      <c r="T8" s="8">
        <f>IF(S8="-","-",IF(S8=0,0,(S8*$T$7)/$S$7))</f>
        <v>2.75</v>
      </c>
      <c r="U8" s="3">
        <f>IF(S8="-","-",IF(S8=0,0,IF($S$19=0,50,(50+(10*(STANDARDIZE(S8,$S$18,$S$19)))))*$U$7))</f>
        <v>35.561998671805668</v>
      </c>
    </row>
    <row r="9" spans="1:21" ht="27" x14ac:dyDescent="0.45">
      <c r="A9" s="95">
        <v>2</v>
      </c>
      <c r="B9" s="280">
        <v>651201118</v>
      </c>
      <c r="C9" s="280" t="s">
        <v>234</v>
      </c>
      <c r="D9" s="69">
        <v>143</v>
      </c>
      <c r="E9" s="61">
        <f t="shared" ref="E9:E17" si="0">IF(D9="-","-",IF(D9=0,0,(D9*$E$7)/$D$7))</f>
        <v>49.028571428571432</v>
      </c>
      <c r="F9" s="201">
        <f t="shared" ref="F9:F16" si="1">IF(D9="-","-",IF(D9=0,0,IF($D$19=0,50,(50+(10*(STANDARDIZE(D9,$D$18,$D$19)))))*$F$7))</f>
        <v>271.7406378469758</v>
      </c>
      <c r="G9" s="69">
        <v>62</v>
      </c>
      <c r="H9" s="61">
        <f t="shared" ref="H9:H17" si="2">IF(G9="-","-",IF(G9=0,0,(G9*$H$7)/$G$7))</f>
        <v>8.2666666666666675</v>
      </c>
      <c r="I9" s="201">
        <f t="shared" ref="I9:I17" si="3">IF(G9="-","-",IF(G9=0,0,IF($G$19=0,50,(50+(10*(STANDARDIZE(G9,$G$18,$G$19)))))*$I$7))</f>
        <v>45.790424955864879</v>
      </c>
      <c r="J9" s="282">
        <v>49</v>
      </c>
      <c r="K9" s="8">
        <f t="shared" ref="K9:K17" si="4">IF(J9="-","-",IF(J9=0,0,(J9*$K$7)/$J$7))</f>
        <v>9.8000000000000007</v>
      </c>
      <c r="L9" s="3">
        <f t="shared" ref="L9:L17" si="5">IF(J9="-","-",IF(J9=0,0,IF(J20=0,50,(50+(10*(STANDARDIZE(J9,$J$18,$J$19)))))*$L$7))</f>
        <v>50</v>
      </c>
      <c r="M9" s="69">
        <v>28</v>
      </c>
      <c r="N9" s="8">
        <f t="shared" ref="N9:N17" si="6">IF(M9="-","-",IF(M9=0,0,(M9*$N$7)/$M$7))</f>
        <v>4.666666666666667</v>
      </c>
      <c r="O9" s="3">
        <f t="shared" ref="O9:O17" si="7">IF(M9="-","-",IF(M9=0,0,IF($M$19=0,50,(50+(10*(STANDARDIZE(M9,$M$18,$M$19)))))*$O$7))</f>
        <v>25.46084557150601</v>
      </c>
      <c r="P9" s="69">
        <v>75</v>
      </c>
      <c r="Q9" s="8">
        <f t="shared" ref="Q9:Q17" si="8">IF(P9="-","-",IF(P9=0,0,(P9*$Q$7)/$P$7))</f>
        <v>8.3333333333333339</v>
      </c>
      <c r="R9" s="3">
        <f t="shared" ref="R9:R17" si="9">IF(P9="-","-",IF(P9=0,0,IF($P$19=0,50,(50+(10*(STANDARDIZE(P9,$P$18,$P$19)))))*$R$7))</f>
        <v>50</v>
      </c>
      <c r="S9">
        <v>14</v>
      </c>
      <c r="T9" s="8">
        <f t="shared" ref="T9:T17" si="10">IF(S9="-","-",IF(S9=0,0,(S9*$T$7)/$S$7))</f>
        <v>3.5</v>
      </c>
      <c r="U9" s="3">
        <f t="shared" ref="U9:U17" si="11">IF(S9="-","-",IF(S9=0,0,IF($S$19=0,50,(50+(10*(STANDARDIZE(S9,$S$18,$S$19)))))*$U$7))</f>
        <v>45.187332890601894</v>
      </c>
    </row>
    <row r="10" spans="1:21" ht="27" x14ac:dyDescent="0.45">
      <c r="A10" s="95">
        <v>3</v>
      </c>
      <c r="B10" s="280">
        <v>651201119</v>
      </c>
      <c r="C10" s="280" t="s">
        <v>235</v>
      </c>
      <c r="D10" s="69">
        <v>153</v>
      </c>
      <c r="E10" s="61">
        <f t="shared" si="0"/>
        <v>52.457142857142856</v>
      </c>
      <c r="F10" s="201">
        <f t="shared" si="1"/>
        <v>365.9385116903897</v>
      </c>
      <c r="G10" s="69">
        <v>70</v>
      </c>
      <c r="H10" s="61">
        <f t="shared" si="2"/>
        <v>9.3333333333333339</v>
      </c>
      <c r="I10" s="201">
        <f t="shared" si="3"/>
        <v>63.751278477508066</v>
      </c>
      <c r="J10" s="282">
        <v>49</v>
      </c>
      <c r="K10" s="8">
        <f t="shared" si="4"/>
        <v>9.8000000000000007</v>
      </c>
      <c r="L10" s="3">
        <f t="shared" si="5"/>
        <v>50</v>
      </c>
      <c r="M10" s="69">
        <v>29</v>
      </c>
      <c r="N10" s="8">
        <f t="shared" si="6"/>
        <v>4.833333333333333</v>
      </c>
      <c r="O10" s="3">
        <f t="shared" si="7"/>
        <v>29.147610143554072</v>
      </c>
      <c r="P10" s="69">
        <v>78</v>
      </c>
      <c r="Q10" s="8">
        <f t="shared" si="8"/>
        <v>8.6666666666666661</v>
      </c>
      <c r="R10" s="3">
        <f t="shared" si="9"/>
        <v>57.5</v>
      </c>
      <c r="S10">
        <v>18</v>
      </c>
      <c r="T10" s="8">
        <f t="shared" si="10"/>
        <v>4.5</v>
      </c>
      <c r="U10" s="3">
        <f t="shared" si="11"/>
        <v>58.021111848996853</v>
      </c>
    </row>
    <row r="11" spans="1:21" ht="27" x14ac:dyDescent="0.45">
      <c r="A11" s="95">
        <v>4</v>
      </c>
      <c r="B11" s="280">
        <v>651201120</v>
      </c>
      <c r="C11" s="280" t="s">
        <v>236</v>
      </c>
      <c r="D11" s="69">
        <v>150</v>
      </c>
      <c r="E11" s="61">
        <f t="shared" si="0"/>
        <v>51.428571428571431</v>
      </c>
      <c r="F11" s="201">
        <f t="shared" si="1"/>
        <v>337.67914953736556</v>
      </c>
      <c r="G11" s="69">
        <v>65</v>
      </c>
      <c r="H11" s="61">
        <f t="shared" si="2"/>
        <v>8.6666666666666661</v>
      </c>
      <c r="I11" s="201">
        <f t="shared" si="3"/>
        <v>52.525745026481076</v>
      </c>
      <c r="J11" s="282">
        <v>45</v>
      </c>
      <c r="K11" s="8">
        <f t="shared" si="4"/>
        <v>9</v>
      </c>
      <c r="L11" s="3">
        <f t="shared" si="5"/>
        <v>39.627827266521507</v>
      </c>
      <c r="M11" s="69">
        <v>27</v>
      </c>
      <c r="N11" s="8">
        <f t="shared" si="6"/>
        <v>4.5</v>
      </c>
      <c r="O11" s="3">
        <f t="shared" si="7"/>
        <v>21.774080999457944</v>
      </c>
      <c r="P11" s="69">
        <v>72</v>
      </c>
      <c r="Q11" s="8">
        <f t="shared" si="8"/>
        <v>8</v>
      </c>
      <c r="R11" s="3">
        <f t="shared" si="9"/>
        <v>42.5</v>
      </c>
      <c r="S11">
        <v>12</v>
      </c>
      <c r="T11" s="8">
        <f t="shared" si="10"/>
        <v>3</v>
      </c>
      <c r="U11" s="3">
        <f t="shared" si="11"/>
        <v>38.770443411404415</v>
      </c>
    </row>
    <row r="12" spans="1:21" ht="27" x14ac:dyDescent="0.45">
      <c r="A12" s="95">
        <v>5</v>
      </c>
      <c r="B12" s="280">
        <v>651201121</v>
      </c>
      <c r="C12" s="280" t="s">
        <v>237</v>
      </c>
      <c r="D12" s="69">
        <v>155</v>
      </c>
      <c r="E12" s="61">
        <f t="shared" si="0"/>
        <v>53.142857142857146</v>
      </c>
      <c r="F12" s="201">
        <f t="shared" si="1"/>
        <v>384.77808645907248</v>
      </c>
      <c r="G12" s="69">
        <v>70</v>
      </c>
      <c r="H12" s="61">
        <f t="shared" si="2"/>
        <v>9.3333333333333339</v>
      </c>
      <c r="I12" s="201">
        <f t="shared" si="3"/>
        <v>63.751278477508066</v>
      </c>
      <c r="J12" s="282">
        <v>48</v>
      </c>
      <c r="K12" s="8">
        <f t="shared" si="4"/>
        <v>9.6</v>
      </c>
      <c r="L12" s="3">
        <f t="shared" si="5"/>
        <v>50</v>
      </c>
      <c r="M12" s="69">
        <v>29</v>
      </c>
      <c r="N12" s="8">
        <f t="shared" si="6"/>
        <v>4.833333333333333</v>
      </c>
      <c r="O12" s="3">
        <f t="shared" si="7"/>
        <v>29.147610143554072</v>
      </c>
      <c r="P12" s="69">
        <v>81</v>
      </c>
      <c r="Q12" s="8">
        <f t="shared" si="8"/>
        <v>9</v>
      </c>
      <c r="R12" s="3">
        <f t="shared" si="9"/>
        <v>65</v>
      </c>
      <c r="S12">
        <v>20</v>
      </c>
      <c r="T12" s="8">
        <f t="shared" si="10"/>
        <v>5</v>
      </c>
      <c r="U12" s="3">
        <f t="shared" si="11"/>
        <v>64.438001328194332</v>
      </c>
    </row>
    <row r="13" spans="1:21" ht="27" x14ac:dyDescent="0.45">
      <c r="A13" s="95">
        <v>6</v>
      </c>
      <c r="B13" s="280">
        <v>651201122</v>
      </c>
      <c r="C13" s="280" t="s">
        <v>238</v>
      </c>
      <c r="D13" s="69">
        <v>148</v>
      </c>
      <c r="E13" s="61">
        <f t="shared" si="0"/>
        <v>50.74285714285714</v>
      </c>
      <c r="F13" s="201">
        <f t="shared" si="1"/>
        <v>318.83957476868278</v>
      </c>
      <c r="G13" s="69">
        <v>65</v>
      </c>
      <c r="H13" s="61">
        <f t="shared" si="2"/>
        <v>8.6666666666666661</v>
      </c>
      <c r="I13" s="201">
        <f t="shared" si="3"/>
        <v>52.525745026481076</v>
      </c>
      <c r="J13" s="282">
        <v>48</v>
      </c>
      <c r="K13" s="8">
        <f t="shared" si="4"/>
        <v>9.6</v>
      </c>
      <c r="L13" s="3">
        <f t="shared" si="5"/>
        <v>50</v>
      </c>
      <c r="M13" s="69">
        <v>29</v>
      </c>
      <c r="N13" s="8">
        <f t="shared" si="6"/>
        <v>4.833333333333333</v>
      </c>
      <c r="O13" s="3">
        <f t="shared" si="7"/>
        <v>29.147610143554072</v>
      </c>
      <c r="P13" s="69">
        <v>79</v>
      </c>
      <c r="Q13" s="8">
        <f t="shared" si="8"/>
        <v>8.7777777777777786</v>
      </c>
      <c r="R13" s="3">
        <f t="shared" si="9"/>
        <v>60</v>
      </c>
      <c r="S13">
        <v>16</v>
      </c>
      <c r="T13" s="8">
        <f t="shared" si="10"/>
        <v>4</v>
      </c>
      <c r="U13" s="3">
        <f t="shared" si="11"/>
        <v>51.604222369799373</v>
      </c>
    </row>
    <row r="14" spans="1:21" ht="27" x14ac:dyDescent="0.45">
      <c r="A14" s="95">
        <v>7</v>
      </c>
      <c r="B14" s="280">
        <v>651201123</v>
      </c>
      <c r="C14" s="280" t="s">
        <v>239</v>
      </c>
      <c r="D14" s="69">
        <v>141</v>
      </c>
      <c r="E14" s="61">
        <f t="shared" si="0"/>
        <v>48.342857142857142</v>
      </c>
      <c r="F14" s="201">
        <f t="shared" si="1"/>
        <v>252.90106307829308</v>
      </c>
      <c r="G14" s="69">
        <v>61</v>
      </c>
      <c r="H14" s="61">
        <f t="shared" si="2"/>
        <v>8.1333333333333329</v>
      </c>
      <c r="I14" s="201">
        <f t="shared" si="3"/>
        <v>43.545318265659475</v>
      </c>
      <c r="J14" s="282">
        <v>46</v>
      </c>
      <c r="K14" s="8">
        <f t="shared" si="4"/>
        <v>9.1999999999999993</v>
      </c>
      <c r="L14" s="3">
        <f t="shared" si="5"/>
        <v>50</v>
      </c>
      <c r="M14" s="69">
        <v>29</v>
      </c>
      <c r="N14" s="8">
        <f t="shared" si="6"/>
        <v>4.833333333333333</v>
      </c>
      <c r="O14" s="3">
        <f t="shared" si="7"/>
        <v>29.147610143554072</v>
      </c>
      <c r="P14" s="69">
        <v>74</v>
      </c>
      <c r="Q14" s="8">
        <f t="shared" si="8"/>
        <v>8.2222222222222214</v>
      </c>
      <c r="R14" s="3">
        <f t="shared" si="9"/>
        <v>47.5</v>
      </c>
      <c r="S14">
        <v>18</v>
      </c>
      <c r="T14" s="8">
        <f t="shared" si="10"/>
        <v>4.5</v>
      </c>
      <c r="U14" s="3">
        <f t="shared" si="11"/>
        <v>58.021111848996853</v>
      </c>
    </row>
    <row r="15" spans="1:21" ht="27" x14ac:dyDescent="0.45">
      <c r="A15" s="95">
        <v>8</v>
      </c>
      <c r="B15" s="280">
        <v>651201124</v>
      </c>
      <c r="C15" s="280" t="s">
        <v>240</v>
      </c>
      <c r="D15" s="69">
        <v>138</v>
      </c>
      <c r="E15" s="61">
        <f t="shared" si="0"/>
        <v>47.314285714285717</v>
      </c>
      <c r="F15" s="201">
        <f t="shared" si="1"/>
        <v>224.64170092526891</v>
      </c>
      <c r="G15" s="69">
        <v>58</v>
      </c>
      <c r="H15" s="61">
        <f t="shared" si="2"/>
        <v>7.7333333333333334</v>
      </c>
      <c r="I15" s="201">
        <f t="shared" si="3"/>
        <v>36.809998195043278</v>
      </c>
      <c r="J15" s="282">
        <v>45</v>
      </c>
      <c r="K15" s="8">
        <f t="shared" si="4"/>
        <v>9</v>
      </c>
      <c r="L15" s="3">
        <f t="shared" si="5"/>
        <v>50</v>
      </c>
      <c r="M15" s="69">
        <v>26</v>
      </c>
      <c r="N15" s="8">
        <f t="shared" si="6"/>
        <v>4.333333333333333</v>
      </c>
      <c r="O15" s="3">
        <f t="shared" si="7"/>
        <v>18.087316427409881</v>
      </c>
      <c r="P15" s="69">
        <v>70</v>
      </c>
      <c r="Q15" s="8">
        <f t="shared" si="8"/>
        <v>7.7777777777777777</v>
      </c>
      <c r="R15" s="3">
        <f t="shared" si="9"/>
        <v>37.5</v>
      </c>
      <c r="S15">
        <v>15</v>
      </c>
      <c r="T15" s="8">
        <f t="shared" si="10"/>
        <v>3.75</v>
      </c>
      <c r="U15" s="3">
        <f t="shared" si="11"/>
        <v>48.395777630200627</v>
      </c>
    </row>
    <row r="16" spans="1:21" ht="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ht="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21" x14ac:dyDescent="0.35">
      <c r="A18" s="2"/>
      <c r="B18" s="2"/>
      <c r="C18" s="42" t="s">
        <v>13</v>
      </c>
      <c r="D18" s="9">
        <f>AVERAGE($D$8:$D$17)</f>
        <v>146</v>
      </c>
      <c r="E18" s="2"/>
      <c r="F18" s="2"/>
      <c r="G18" s="9">
        <f>AVERAGE($G$8:$G$17)</f>
        <v>63.875</v>
      </c>
      <c r="H18" s="1"/>
      <c r="I18" s="1"/>
      <c r="J18" s="9">
        <f>AVERAGE($J$8:$J$17)</f>
        <v>46.875</v>
      </c>
      <c r="K18" s="1"/>
      <c r="L18" s="1"/>
      <c r="M18" s="9">
        <f>AVERAGE($M$8:$M$17)</f>
        <v>27.875</v>
      </c>
      <c r="N18" s="1"/>
      <c r="O18" s="1"/>
      <c r="P18" s="9">
        <f>AVERAGE($P$8:$P$17)</f>
        <v>75</v>
      </c>
      <c r="Q18" s="1"/>
      <c r="R18" s="1"/>
      <c r="S18" s="9">
        <f>AVERAGE($S$8:$S$17)</f>
        <v>15.5</v>
      </c>
      <c r="T18" s="1"/>
      <c r="U18" s="1"/>
    </row>
    <row r="19" spans="1:21" ht="21" x14ac:dyDescent="0.35">
      <c r="A19" s="2"/>
      <c r="B19" s="2"/>
      <c r="C19" s="42" t="s">
        <v>14</v>
      </c>
      <c r="D19" s="9">
        <f>STDEV($D$8:$D$17)</f>
        <v>6.3695705170308434</v>
      </c>
      <c r="E19" s="2"/>
      <c r="F19" s="2"/>
      <c r="G19" s="9">
        <f>STDEV($G$8:$G$17)</f>
        <v>4.4541313086039249</v>
      </c>
      <c r="H19" s="1"/>
      <c r="I19" s="1"/>
      <c r="J19" s="9">
        <f>STDEV($J$8:$J$17)</f>
        <v>1.807721533549109</v>
      </c>
      <c r="K19" s="1"/>
      <c r="L19" s="1"/>
      <c r="M19" s="9">
        <f>STDEV($M$8:$M$17)</f>
        <v>1.3562026818605375</v>
      </c>
      <c r="N19" s="1"/>
      <c r="O19" s="1"/>
      <c r="P19" s="9">
        <f>STDEV($P$8:$P$17)</f>
        <v>4</v>
      </c>
      <c r="Q19" s="1"/>
      <c r="R19" s="1"/>
      <c r="S19" s="9">
        <f>STDEV(S8:S17)</f>
        <v>3.1167748898959182</v>
      </c>
      <c r="T19" s="1"/>
      <c r="U19" s="1"/>
    </row>
    <row r="20" spans="1:21" ht="21" x14ac:dyDescent="0.2">
      <c r="A20" s="2"/>
      <c r="B20" s="2"/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21" x14ac:dyDescent="0.2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21" x14ac:dyDescent="0.2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ht="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44" x14ac:dyDescent="0.35">
      <c r="A24" s="6">
        <v>1</v>
      </c>
      <c r="B24" s="38">
        <f>B8</f>
        <v>651201117</v>
      </c>
      <c r="C24" s="39" t="str">
        <f>C8</f>
        <v>นางสาวจุฑาลกั ษณ์ จำปาที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44" x14ac:dyDescent="0.35">
      <c r="A25" s="6">
        <v>2</v>
      </c>
      <c r="B25" s="38">
        <f t="shared" ref="B25:C33" si="12">B9</f>
        <v>651201118</v>
      </c>
      <c r="C25" s="39" t="str">
        <f t="shared" si="12"/>
        <v>นางสาวชนากานต์ เนียมอ้ม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66" x14ac:dyDescent="0.35">
      <c r="A26" s="6">
        <v>3</v>
      </c>
      <c r="B26" s="38">
        <f t="shared" si="12"/>
        <v>651201119</v>
      </c>
      <c r="C26" s="39" t="str">
        <f t="shared" si="12"/>
        <v>นางสาวชลดา ผ่อนจรุง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44" x14ac:dyDescent="0.35">
      <c r="A27" s="6">
        <v>4</v>
      </c>
      <c r="B27" s="38">
        <f t="shared" si="12"/>
        <v>651201120</v>
      </c>
      <c r="C27" s="39" t="str">
        <f t="shared" si="12"/>
        <v>นางสาวชลทิชา ศรีกระหวัน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44" x14ac:dyDescent="0.35">
      <c r="A28" s="6">
        <v>5</v>
      </c>
      <c r="B28" s="38">
        <f t="shared" si="12"/>
        <v>651201121</v>
      </c>
      <c r="C28" s="39" t="str">
        <f t="shared" si="12"/>
        <v>นางสาวชลธิชา ทองมาก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44" x14ac:dyDescent="0.35">
      <c r="A29" s="6">
        <v>6</v>
      </c>
      <c r="B29" s="38">
        <f t="shared" si="12"/>
        <v>651201122</v>
      </c>
      <c r="C29" s="39" t="str">
        <f t="shared" si="12"/>
        <v>นางสาวชลธิชา ปราบพาลา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44" x14ac:dyDescent="0.35">
      <c r="A30" s="6">
        <v>7</v>
      </c>
      <c r="B30" s="38">
        <f t="shared" si="12"/>
        <v>651201123</v>
      </c>
      <c r="C30" s="39" t="str">
        <f t="shared" si="12"/>
        <v>นางสาวฐิติมา วงเวียน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44" x14ac:dyDescent="0.35">
      <c r="A31" s="6">
        <v>8</v>
      </c>
      <c r="B31" s="38">
        <f t="shared" si="12"/>
        <v>651201124</v>
      </c>
      <c r="C31" s="39" t="str">
        <f t="shared" si="12"/>
        <v>นางสาวณัฐกานต์ ศรีกรินทร์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ht="21" x14ac:dyDescent="0.35">
      <c r="A32" s="6">
        <v>9</v>
      </c>
      <c r="B32" s="38">
        <f t="shared" si="12"/>
        <v>0</v>
      </c>
      <c r="C32" s="39">
        <f t="shared" si="12"/>
        <v>0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ht="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ht="21" x14ac:dyDescent="0.35">
      <c r="A34" s="2"/>
      <c r="B34" s="2"/>
      <c r="C34" s="42" t="s">
        <v>13</v>
      </c>
      <c r="D34" s="9" t="e">
        <f>AVERAGE($D$24:$D$33)</f>
        <v>#DIV/0!</v>
      </c>
      <c r="E34" s="1"/>
      <c r="F34" s="1"/>
      <c r="G34" s="9" t="e">
        <f>AVERAGE($G$24:$G$33)</f>
        <v>#DIV/0!</v>
      </c>
      <c r="H34" s="1"/>
      <c r="I34" s="1"/>
      <c r="J34" s="9" t="e">
        <f>AVERAGE($J$24:$J$33)</f>
        <v>#DIV/0!</v>
      </c>
      <c r="K34" s="1"/>
      <c r="L34" s="1"/>
      <c r="M34" s="9" t="e">
        <f>AVERAGE($M$24:$M$33)</f>
        <v>#DIV/0!</v>
      </c>
      <c r="N34" s="1"/>
      <c r="O34" s="1"/>
      <c r="P34" s="9" t="e">
        <f>AVERAGE($P$24:$P$33)</f>
        <v>#DIV/0!</v>
      </c>
      <c r="Q34" s="1"/>
      <c r="R34" s="1"/>
      <c r="S34" s="72" t="e">
        <f>AVERAGE($S$24:$S$33)</f>
        <v>#DIV/0!</v>
      </c>
      <c r="T34" s="1"/>
      <c r="U34" s="1"/>
    </row>
    <row r="35" spans="1:21" ht="21" x14ac:dyDescent="0.35">
      <c r="A35" s="2"/>
      <c r="B35" s="2"/>
      <c r="C35" s="42" t="s">
        <v>14</v>
      </c>
      <c r="D35" s="9" t="e">
        <f>STDEV($D$24:$D$33)</f>
        <v>#DIV/0!</v>
      </c>
      <c r="E35" s="1"/>
      <c r="F35" s="5"/>
      <c r="G35" s="9" t="e">
        <f>STDEV($G$24:$G$33)</f>
        <v>#DIV/0!</v>
      </c>
      <c r="H35" s="1"/>
      <c r="I35" s="1"/>
      <c r="J35" s="9" t="e">
        <f>STDEV($J$24:$J$33)</f>
        <v>#DIV/0!</v>
      </c>
      <c r="K35" s="1"/>
      <c r="L35" s="5"/>
      <c r="M35" s="9" t="e">
        <f>STDEV($M$24:$M$33)</f>
        <v>#DIV/0!</v>
      </c>
      <c r="N35" s="1"/>
      <c r="O35" s="1"/>
      <c r="P35" s="9" t="e">
        <f>STDEV($P$24:$P$33)</f>
        <v>#DIV/0!</v>
      </c>
      <c r="Q35" s="1"/>
      <c r="R35" s="1"/>
      <c r="S35" s="72" t="e">
        <f>STDEV($S$24:$S$33)</f>
        <v>#DIV/0!</v>
      </c>
      <c r="T35" s="1"/>
      <c r="U35" s="1"/>
    </row>
    <row r="36" spans="1:21" ht="21" x14ac:dyDescent="0.35">
      <c r="A36" s="2"/>
      <c r="B36" s="2"/>
      <c r="C36" s="42"/>
      <c r="D36" s="9"/>
      <c r="E36" s="1"/>
      <c r="F36" s="5"/>
      <c r="G36" s="9" t="s">
        <v>2</v>
      </c>
      <c r="H36" s="1"/>
      <c r="I36" s="1"/>
      <c r="J36" s="9"/>
      <c r="K36" s="1"/>
      <c r="L36" s="5"/>
      <c r="M36" s="9"/>
      <c r="N36" s="1"/>
      <c r="O36" s="1"/>
      <c r="P36" s="1" t="s">
        <v>2</v>
      </c>
      <c r="Q36" s="1"/>
      <c r="R36" s="1"/>
      <c r="S36" s="1"/>
      <c r="T36" s="1"/>
      <c r="U36" s="1"/>
    </row>
    <row r="37" spans="1:21" ht="21" x14ac:dyDescent="0.35">
      <c r="A37" s="2"/>
      <c r="B37" s="2"/>
      <c r="C37" s="2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1"/>
      <c r="T37" s="1"/>
      <c r="U37" s="1"/>
    </row>
    <row r="38" spans="1:21" ht="21" x14ac:dyDescent="0.2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ht="21" x14ac:dyDescent="0.2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ht="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44" x14ac:dyDescent="0.35">
      <c r="A41" s="6">
        <v>1</v>
      </c>
      <c r="B41" s="38">
        <f>B8</f>
        <v>651201117</v>
      </c>
      <c r="C41" s="39" t="str">
        <f>C8</f>
        <v>นางสาวจุฑาลกั ษณ์ จำปาที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44" x14ac:dyDescent="0.35">
      <c r="A42" s="6">
        <v>2</v>
      </c>
      <c r="B42" s="38">
        <f t="shared" ref="B42:C50" si="25">B9</f>
        <v>651201118</v>
      </c>
      <c r="C42" s="39" t="str">
        <f t="shared" si="25"/>
        <v>นางสาวชนากานต์ เนียมอ้ม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66" x14ac:dyDescent="0.35">
      <c r="A43" s="6">
        <v>3</v>
      </c>
      <c r="B43" s="38">
        <f t="shared" si="25"/>
        <v>651201119</v>
      </c>
      <c r="C43" s="39" t="str">
        <f t="shared" si="25"/>
        <v>นางสาวชลดา ผ่อนจรุง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44" x14ac:dyDescent="0.35">
      <c r="A44" s="6">
        <v>4</v>
      </c>
      <c r="B44" s="38">
        <f t="shared" si="25"/>
        <v>651201120</v>
      </c>
      <c r="C44" s="39" t="str">
        <f t="shared" si="25"/>
        <v>นางสาวชลทิชา ศรีกระหวัน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44" x14ac:dyDescent="0.35">
      <c r="A45" s="6">
        <v>5</v>
      </c>
      <c r="B45" s="38">
        <f t="shared" si="25"/>
        <v>651201121</v>
      </c>
      <c r="C45" s="39" t="str">
        <f t="shared" si="25"/>
        <v>นางสาวชลธิชา ทองมาก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44" x14ac:dyDescent="0.35">
      <c r="A46" s="6">
        <v>6</v>
      </c>
      <c r="B46" s="38">
        <f t="shared" si="25"/>
        <v>651201122</v>
      </c>
      <c r="C46" s="39" t="str">
        <f t="shared" si="25"/>
        <v>นางสาวชลธิชา ปราบพาลา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44" x14ac:dyDescent="0.35">
      <c r="A47" s="6">
        <v>7</v>
      </c>
      <c r="B47" s="38">
        <f t="shared" si="25"/>
        <v>651201123</v>
      </c>
      <c r="C47" s="39" t="str">
        <f t="shared" si="25"/>
        <v>นางสาวฐิติมา วงเวียน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44" x14ac:dyDescent="0.35">
      <c r="A48" s="6">
        <v>8</v>
      </c>
      <c r="B48" s="38">
        <f t="shared" si="25"/>
        <v>651201124</v>
      </c>
      <c r="C48" s="39" t="str">
        <f t="shared" si="25"/>
        <v>นางสาวณัฐกานต์ ศรีกรินทร์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ht="21" x14ac:dyDescent="0.35">
      <c r="A49" s="6">
        <v>9</v>
      </c>
      <c r="B49" s="38">
        <f t="shared" si="25"/>
        <v>0</v>
      </c>
      <c r="C49" s="39">
        <f t="shared" si="25"/>
        <v>0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ht="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ht="21" x14ac:dyDescent="0.35">
      <c r="A51" s="2"/>
      <c r="B51" s="2"/>
      <c r="C51" s="42" t="s">
        <v>13</v>
      </c>
      <c r="D51" s="9" t="e">
        <f>AVERAGE($D$41:$D$50)</f>
        <v>#DIV/0!</v>
      </c>
      <c r="E51" s="1"/>
      <c r="F51" s="1"/>
      <c r="G51" s="9" t="e">
        <f>AVERAGE($G$41:$G$50)</f>
        <v>#DIV/0!</v>
      </c>
      <c r="H51" s="1"/>
      <c r="I51" s="1"/>
      <c r="J51" s="9" t="e">
        <f>AVERAGE($J$41:$J$50)</f>
        <v>#DIV/0!</v>
      </c>
      <c r="K51" s="1"/>
      <c r="L51" s="1"/>
      <c r="M51" s="9" t="e">
        <f>AVERAGE($M$41:$M$50)</f>
        <v>#DIV/0!</v>
      </c>
      <c r="N51" s="1"/>
      <c r="O51" s="1"/>
      <c r="P51" s="9" t="e">
        <f>AVERAGE($P$41:$P$50)</f>
        <v>#DIV/0!</v>
      </c>
      <c r="Q51" s="1"/>
      <c r="R51" s="1"/>
      <c r="S51" s="9" t="e">
        <f>AVERAGE($S$41:$S$50)</f>
        <v>#DIV/0!</v>
      </c>
      <c r="T51" s="1"/>
      <c r="U51" s="1"/>
    </row>
    <row r="52" spans="1:21" ht="21" x14ac:dyDescent="0.35">
      <c r="A52" s="2"/>
      <c r="B52" s="2"/>
      <c r="C52" s="42" t="s">
        <v>14</v>
      </c>
      <c r="D52" s="9" t="e">
        <f>STDEV($D$41:$D$50)</f>
        <v>#DIV/0!</v>
      </c>
      <c r="E52" s="1"/>
      <c r="F52" s="5"/>
      <c r="G52" s="9" t="e">
        <f>STDEV($G$41:$G$50)</f>
        <v>#DIV/0!</v>
      </c>
      <c r="H52" s="1"/>
      <c r="I52" s="1"/>
      <c r="J52" s="9" t="e">
        <f>STDEV($J$41:$J$50)</f>
        <v>#DIV/0!</v>
      </c>
      <c r="K52" s="1"/>
      <c r="L52" s="1"/>
      <c r="M52" s="9" t="e">
        <f>STDEV($M$41:$M$50)</f>
        <v>#DIV/0!</v>
      </c>
      <c r="N52" s="1"/>
      <c r="O52" s="5"/>
      <c r="P52" s="9" t="e">
        <f>STDEV($P$41:$P$50)</f>
        <v>#DIV/0!</v>
      </c>
      <c r="Q52" s="1"/>
      <c r="R52" s="5"/>
      <c r="S52" s="9" t="e">
        <f>STDEV($S$41:$S$50)</f>
        <v>#DIV/0!</v>
      </c>
      <c r="T52" s="1"/>
      <c r="U52" s="1"/>
    </row>
    <row r="53" spans="1:21" ht="21" x14ac:dyDescent="0.35">
      <c r="A53" s="2"/>
      <c r="B53" s="2"/>
      <c r="C53" s="42"/>
      <c r="D53" s="9"/>
      <c r="E53" s="1"/>
      <c r="F53" s="5"/>
      <c r="G53" s="9"/>
      <c r="H53" s="1"/>
      <c r="I53" s="1"/>
      <c r="J53" s="9"/>
      <c r="K53" s="1"/>
      <c r="L53" s="5"/>
      <c r="M53" s="9"/>
      <c r="N53" s="1"/>
      <c r="O53" s="1"/>
      <c r="P53" s="1" t="s">
        <v>2</v>
      </c>
      <c r="Q53" s="1"/>
      <c r="R53" s="1"/>
      <c r="S53" s="1"/>
      <c r="T53" s="1"/>
      <c r="U53" s="1"/>
    </row>
    <row r="54" spans="1:21" ht="21" x14ac:dyDescent="0.35">
      <c r="A54" s="2"/>
      <c r="B54" s="2"/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1"/>
      <c r="T54" s="1"/>
      <c r="U54" s="1"/>
    </row>
    <row r="55" spans="1:21" ht="2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21" x14ac:dyDescent="0.2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ht="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44" x14ac:dyDescent="0.35">
      <c r="A58" s="6">
        <v>1</v>
      </c>
      <c r="B58" s="38">
        <f>B8</f>
        <v>651201117</v>
      </c>
      <c r="C58" s="73" t="str">
        <f>C8</f>
        <v>นางสาวจุฑาลกั ษณ์ จำปาที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44" x14ac:dyDescent="0.35">
      <c r="A59" s="6">
        <v>2</v>
      </c>
      <c r="B59" s="38">
        <f t="shared" ref="B59:C67" si="38">B9</f>
        <v>651201118</v>
      </c>
      <c r="C59" s="73" t="str">
        <f t="shared" si="38"/>
        <v>นางสาวชนากานต์ เนียมอ้ม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44" x14ac:dyDescent="0.35">
      <c r="A60" s="6">
        <v>3</v>
      </c>
      <c r="B60" s="38">
        <f t="shared" si="38"/>
        <v>651201119</v>
      </c>
      <c r="C60" s="73" t="str">
        <f t="shared" si="38"/>
        <v>นางสาวชลดา ผ่อนจรุง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44" x14ac:dyDescent="0.35">
      <c r="A61" s="6">
        <v>4</v>
      </c>
      <c r="B61" s="38">
        <f t="shared" si="38"/>
        <v>651201120</v>
      </c>
      <c r="C61" s="73" t="str">
        <f t="shared" si="38"/>
        <v>นางสาวชลทิชา ศรีกระหวัน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44" x14ac:dyDescent="0.35">
      <c r="A62" s="6">
        <v>5</v>
      </c>
      <c r="B62" s="38">
        <f t="shared" si="38"/>
        <v>651201121</v>
      </c>
      <c r="C62" s="73" t="str">
        <f t="shared" si="38"/>
        <v>นางสาวชลธิชา ทองมาก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44" x14ac:dyDescent="0.35">
      <c r="A63" s="6">
        <v>6</v>
      </c>
      <c r="B63" s="38">
        <f t="shared" si="38"/>
        <v>651201122</v>
      </c>
      <c r="C63" s="73" t="str">
        <f t="shared" si="38"/>
        <v>นางสาวชลธิชา ปราบพาลา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44" x14ac:dyDescent="0.35">
      <c r="A64" s="6">
        <v>7</v>
      </c>
      <c r="B64" s="38">
        <f t="shared" si="38"/>
        <v>651201123</v>
      </c>
      <c r="C64" s="73" t="str">
        <f t="shared" si="38"/>
        <v>นางสาวฐิติมา วงเวียน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44" x14ac:dyDescent="0.35">
      <c r="A65" s="6">
        <v>8</v>
      </c>
      <c r="B65" s="38">
        <f t="shared" si="38"/>
        <v>651201124</v>
      </c>
      <c r="C65" s="73" t="str">
        <f t="shared" si="38"/>
        <v>นางสาวณัฐกานต์ ศรีกรินทร์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ht="21" x14ac:dyDescent="0.35">
      <c r="A66" s="6">
        <v>9</v>
      </c>
      <c r="B66" s="38">
        <f t="shared" si="38"/>
        <v>0</v>
      </c>
      <c r="C66" s="73">
        <f t="shared" si="38"/>
        <v>0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ht="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ht="21" x14ac:dyDescent="0.35">
      <c r="A68" s="2"/>
      <c r="B68" s="2"/>
      <c r="C68" s="42" t="s">
        <v>13</v>
      </c>
      <c r="D68" s="9" t="e">
        <f>AVERAGE($D$58:$D$67)</f>
        <v>#DIV/0!</v>
      </c>
      <c r="E68" s="1"/>
      <c r="F68" s="1"/>
      <c r="G68" s="9" t="e">
        <f>AVERAGE($G$58:$G$67)</f>
        <v>#DIV/0!</v>
      </c>
      <c r="H68" s="1"/>
      <c r="I68" s="1"/>
      <c r="J68" s="9" t="e">
        <f>AVERAGE($J$58:$J$67)</f>
        <v>#DIV/0!</v>
      </c>
      <c r="K68" s="1"/>
      <c r="L68" s="1"/>
      <c r="M68" s="9" t="e">
        <f>AVERAGE($M$58:$M$67)</f>
        <v>#DIV/0!</v>
      </c>
      <c r="N68" s="1"/>
      <c r="O68" s="1"/>
      <c r="P68" s="9" t="e">
        <f>AVERAGE($P$58:$P$67)</f>
        <v>#DIV/0!</v>
      </c>
      <c r="Q68" s="1"/>
      <c r="R68" s="1"/>
      <c r="S68" s="9" t="e">
        <f>AVERAGE($S$58:$S$67)</f>
        <v>#DIV/0!</v>
      </c>
      <c r="T68" s="1"/>
      <c r="U68" s="1"/>
    </row>
    <row r="69" spans="1:21" ht="21" x14ac:dyDescent="0.35">
      <c r="A69" s="2"/>
      <c r="B69" s="2"/>
      <c r="C69" s="42" t="s">
        <v>14</v>
      </c>
      <c r="D69" s="9" t="e">
        <f>STDEV($D$58:$D$67)</f>
        <v>#DIV/0!</v>
      </c>
      <c r="E69" s="1"/>
      <c r="F69" s="5"/>
      <c r="G69" s="9" t="e">
        <f>STDEV($G$58:$G$67)</f>
        <v>#DIV/0!</v>
      </c>
      <c r="H69" s="1"/>
      <c r="I69" s="1"/>
      <c r="J69" s="9" t="e">
        <f>STDEV($J$58:$J$67)</f>
        <v>#DIV/0!</v>
      </c>
      <c r="K69" s="1"/>
      <c r="L69" s="1"/>
      <c r="M69" s="9" t="e">
        <f>STDEV($M$41:$M$50)</f>
        <v>#DIV/0!</v>
      </c>
      <c r="N69" s="1"/>
      <c r="O69" s="5"/>
      <c r="P69" s="9" t="e">
        <f>STDEV($P$58:$P$67)</f>
        <v>#DIV/0!</v>
      </c>
      <c r="Q69" s="1"/>
      <c r="R69" s="5"/>
      <c r="S69" s="9" t="e">
        <f>STDEV($S$58:$S$67)</f>
        <v>#DIV/0!</v>
      </c>
      <c r="T69" s="1"/>
      <c r="U69" s="1"/>
    </row>
    <row r="70" spans="1:21" ht="21" x14ac:dyDescent="0.35">
      <c r="A70" s="2"/>
      <c r="B70" s="2"/>
      <c r="C70" s="42"/>
      <c r="D70" s="9"/>
      <c r="E70" s="1"/>
      <c r="F70" s="5"/>
      <c r="G70" s="9"/>
      <c r="H70" s="1"/>
      <c r="I70" s="1"/>
      <c r="J70" s="9"/>
      <c r="K70" s="1"/>
      <c r="L70" s="5"/>
      <c r="M70" s="9"/>
      <c r="N70" s="1"/>
      <c r="O70" s="1"/>
      <c r="P70" s="1"/>
      <c r="Q70" s="1"/>
      <c r="R70" s="1"/>
      <c r="S70" s="1"/>
      <c r="T70" s="1"/>
      <c r="U70" s="1"/>
    </row>
    <row r="71" spans="1:21" ht="21" x14ac:dyDescent="0.35">
      <c r="A71" s="2"/>
      <c r="B71" s="2"/>
      <c r="C71" s="42"/>
      <c r="D71" s="9"/>
      <c r="E71" s="1"/>
      <c r="F71" s="5"/>
      <c r="G71" s="9"/>
      <c r="H71" s="1"/>
      <c r="I71" s="1"/>
      <c r="J71" s="9"/>
      <c r="K71" s="1"/>
      <c r="L71" s="5"/>
      <c r="M71" s="9"/>
      <c r="N71" s="1"/>
      <c r="O71" s="1"/>
      <c r="P71" s="1"/>
      <c r="Q71" s="1"/>
      <c r="R71" s="1"/>
      <c r="S71" s="1"/>
      <c r="T71" s="1"/>
      <c r="U71" s="1"/>
    </row>
    <row r="72" spans="1:21" ht="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ht="21" x14ac:dyDescent="0.2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ht="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44" x14ac:dyDescent="0.35">
      <c r="A75" s="6">
        <f>A8</f>
        <v>1</v>
      </c>
      <c r="B75" s="38">
        <f>B8</f>
        <v>651201117</v>
      </c>
      <c r="C75" s="39" t="str">
        <f>C8</f>
        <v>นางสาวจุฑาลกั ษณ์ จำปาที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44" x14ac:dyDescent="0.35">
      <c r="A76" s="6">
        <f t="shared" ref="A76:C84" si="51">A9</f>
        <v>2</v>
      </c>
      <c r="B76" s="38">
        <f t="shared" si="51"/>
        <v>651201118</v>
      </c>
      <c r="C76" s="39" t="str">
        <f t="shared" si="51"/>
        <v>นางสาวชนากานต์ เนียมอ้ม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66" x14ac:dyDescent="0.35">
      <c r="A77" s="6">
        <f t="shared" si="51"/>
        <v>3</v>
      </c>
      <c r="B77" s="38">
        <f t="shared" si="51"/>
        <v>651201119</v>
      </c>
      <c r="C77" s="39" t="str">
        <f t="shared" si="51"/>
        <v>นางสาวชลดา ผ่อนจรุง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44" x14ac:dyDescent="0.35">
      <c r="A78" s="6">
        <f t="shared" si="51"/>
        <v>4</v>
      </c>
      <c r="B78" s="38">
        <f t="shared" si="51"/>
        <v>651201120</v>
      </c>
      <c r="C78" s="39" t="str">
        <f t="shared" si="51"/>
        <v>นางสาวชลทิชา ศรีกระหวัน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44" x14ac:dyDescent="0.35">
      <c r="A79" s="6">
        <f t="shared" si="51"/>
        <v>5</v>
      </c>
      <c r="B79" s="38">
        <f t="shared" si="51"/>
        <v>651201121</v>
      </c>
      <c r="C79" s="39" t="str">
        <f t="shared" si="51"/>
        <v>นางสาวชลธิชา ทองมาก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44" x14ac:dyDescent="0.35">
      <c r="A80" s="6">
        <f t="shared" si="51"/>
        <v>6</v>
      </c>
      <c r="B80" s="38">
        <f t="shared" si="51"/>
        <v>651201122</v>
      </c>
      <c r="C80" s="39" t="str">
        <f t="shared" si="51"/>
        <v>นางสาวชลธิชา ปราบพาลา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44" x14ac:dyDescent="0.35">
      <c r="A81" s="6">
        <f t="shared" si="51"/>
        <v>7</v>
      </c>
      <c r="B81" s="38">
        <f t="shared" si="51"/>
        <v>651201123</v>
      </c>
      <c r="C81" s="39" t="str">
        <f t="shared" si="51"/>
        <v>นางสาวฐิติมา วงเวียน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44" x14ac:dyDescent="0.35">
      <c r="A82" s="6">
        <f t="shared" si="51"/>
        <v>8</v>
      </c>
      <c r="B82" s="38">
        <f t="shared" si="51"/>
        <v>651201124</v>
      </c>
      <c r="C82" s="39" t="str">
        <f t="shared" si="51"/>
        <v>นางสาวณัฐกานต์ ศรีกรินทร์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ht="21" x14ac:dyDescent="0.35">
      <c r="A83" s="6">
        <f t="shared" si="51"/>
        <v>9</v>
      </c>
      <c r="B83" s="38">
        <f t="shared" si="51"/>
        <v>0</v>
      </c>
      <c r="C83" s="39">
        <f t="shared" si="51"/>
        <v>0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ht="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ht="21" x14ac:dyDescent="0.35">
      <c r="A85" s="2"/>
      <c r="B85" s="2"/>
      <c r="C85" s="42" t="s">
        <v>13</v>
      </c>
      <c r="D85" s="9" t="e">
        <f>AVERAGE($D$75:$D$84)</f>
        <v>#DIV/0!</v>
      </c>
      <c r="E85" s="1"/>
      <c r="F85" s="1"/>
      <c r="G85" s="9" t="e">
        <f>AVERAGE($G$75:$G$84)</f>
        <v>#DIV/0!</v>
      </c>
      <c r="H85" s="1"/>
      <c r="I85" s="1"/>
      <c r="J85" s="9" t="e">
        <f>AVERAGE($J$75:$J$84)</f>
        <v>#DIV/0!</v>
      </c>
      <c r="K85" s="1"/>
      <c r="L85" s="1"/>
      <c r="M85" s="9" t="e">
        <f>AVERAGE($M$75:$M$84)</f>
        <v>#DIV/0!</v>
      </c>
      <c r="N85" s="1"/>
      <c r="O85" s="1"/>
      <c r="P85" s="9" t="e">
        <f>AVERAGE($P$75:$P$84)</f>
        <v>#DIV/0!</v>
      </c>
      <c r="Q85" s="1"/>
      <c r="R85" s="1"/>
      <c r="S85" s="9" t="e">
        <f>AVERAGE($S$75:$S$84)</f>
        <v>#DIV/0!</v>
      </c>
      <c r="T85" s="1"/>
      <c r="U85" s="1"/>
    </row>
    <row r="86" spans="1:21" ht="21" x14ac:dyDescent="0.35">
      <c r="A86" s="2"/>
      <c r="B86" s="2"/>
      <c r="C86" s="42" t="s">
        <v>14</v>
      </c>
      <c r="D86" s="9" t="e">
        <f>STDEV($D$75:$D$84)</f>
        <v>#DIV/0!</v>
      </c>
      <c r="E86" s="1"/>
      <c r="F86" s="5"/>
      <c r="G86" s="9" t="e">
        <f>STDEV($G$75:$G$84)</f>
        <v>#DIV/0!</v>
      </c>
      <c r="H86" s="1"/>
      <c r="I86" s="1"/>
      <c r="J86" s="9" t="e">
        <f>STDEV(J75:J84)</f>
        <v>#DIV/0!</v>
      </c>
      <c r="K86" s="1"/>
      <c r="L86" s="5"/>
      <c r="M86" s="9" t="e">
        <f>STDEV($M$75:$M$84)</f>
        <v>#DIV/0!</v>
      </c>
      <c r="N86" s="1"/>
      <c r="O86" s="1"/>
      <c r="P86" s="9" t="e">
        <f>STDEV(P75:P84)</f>
        <v>#DIV/0!</v>
      </c>
      <c r="Q86" s="1"/>
      <c r="R86" s="1"/>
      <c r="S86" s="9" t="e">
        <f>STDEV($S$75:$S$84)</f>
        <v>#DIV/0!</v>
      </c>
      <c r="T86" s="1"/>
      <c r="U86" s="1"/>
    </row>
    <row r="87" spans="1:21" ht="21" x14ac:dyDescent="0.35">
      <c r="A87" s="2"/>
      <c r="B87" s="2"/>
      <c r="C87" s="42"/>
      <c r="D87" s="9"/>
      <c r="E87" s="1"/>
      <c r="F87" s="5"/>
      <c r="G87" s="9"/>
      <c r="H87" s="1"/>
      <c r="I87" s="1"/>
      <c r="J87" s="9"/>
      <c r="K87" s="1"/>
      <c r="L87" s="5"/>
      <c r="M87" s="9"/>
      <c r="N87" s="1"/>
      <c r="O87" s="1"/>
      <c r="P87" s="1" t="s">
        <v>2</v>
      </c>
      <c r="Q87" s="1"/>
      <c r="R87" s="1"/>
      <c r="S87" s="1"/>
      <c r="T87" s="1"/>
      <c r="U87" s="1"/>
    </row>
    <row r="88" spans="1:21" ht="21" x14ac:dyDescent="0.35">
      <c r="A88" s="2"/>
      <c r="B88" s="2"/>
      <c r="C88" s="42"/>
      <c r="D88" s="9"/>
      <c r="E88" s="1"/>
      <c r="F88" s="5"/>
      <c r="G88" s="9"/>
      <c r="H88" s="1"/>
      <c r="I88" s="1"/>
      <c r="J88" s="9"/>
      <c r="K88" s="1"/>
      <c r="L88" s="5"/>
      <c r="M88" s="9"/>
      <c r="N88" s="1"/>
      <c r="O88" s="1"/>
      <c r="P88" s="1"/>
      <c r="Q88" s="1"/>
      <c r="R88" s="1"/>
      <c r="S88" s="1"/>
      <c r="T88" s="1"/>
      <c r="U88" s="1"/>
    </row>
    <row r="89" spans="1:21" ht="21" x14ac:dyDescent="0.35">
      <c r="A89" s="2"/>
      <c r="B89" s="85" t="s">
        <v>148</v>
      </c>
      <c r="C89" s="42"/>
      <c r="D89" s="9"/>
      <c r="E89" s="1"/>
      <c r="F89" s="5"/>
      <c r="G89" s="9"/>
      <c r="H89" s="1"/>
      <c r="I89" s="1"/>
      <c r="J89" s="9"/>
      <c r="K89" s="1"/>
      <c r="L89" s="5"/>
      <c r="M89" s="9"/>
      <c r="N89" s="1"/>
      <c r="O89" s="1"/>
      <c r="P89" s="9"/>
      <c r="Q89" s="1"/>
      <c r="R89" s="1"/>
      <c r="S89" s="1"/>
      <c r="T89" s="1"/>
      <c r="U89" s="1"/>
    </row>
    <row r="90" spans="1:21" ht="21" x14ac:dyDescent="0.35">
      <c r="A90" s="2"/>
      <c r="B90" s="2"/>
      <c r="C90" s="42"/>
      <c r="D90" s="9"/>
      <c r="E90" s="1"/>
      <c r="F90" s="5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L91" s="1"/>
      <c r="M91" s="1"/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  <c r="U91" s="1"/>
    </row>
    <row r="92" spans="1:21" ht="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3</v>
      </c>
      <c r="K92" s="7">
        <f>ROUND((J92*100)/$J$101,2)</f>
        <v>37.5</v>
      </c>
      <c r="L92" s="1"/>
      <c r="M92" s="1"/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  <c r="U92" s="1"/>
    </row>
    <row r="93" spans="1:21" ht="21" x14ac:dyDescent="0.35">
      <c r="A93" s="6">
        <f>A8</f>
        <v>1</v>
      </c>
      <c r="B93" s="6">
        <f t="shared" ref="B93:C93" si="64">B8</f>
        <v>651201117</v>
      </c>
      <c r="C93" s="78" t="str">
        <f t="shared" si="64"/>
        <v>นางสาวจุฑาลกั ษณ์ จำปาที</v>
      </c>
      <c r="D93" s="3">
        <f>ROUND(SUM(E8,H8,K8,N8,Q8,T8,E24,H24,K24,N24,Q24,T24,E41,H41,K41,N41,Q41,T41,E58,H58,K58,N58,Q58,T58,E75,H75,K75,N75,Q75,T75),2)</f>
        <v>79.97</v>
      </c>
      <c r="E93" s="8">
        <f>ROUND(SUM(F8,I8,L8,O8,R8,U8,F24,I24,L24,O24,R24,U24,F41,I41,L41,O41,R41,U41,F58,I58,L58,O58,R58,U58,F75,I75,L75,O75,R75,U75),2)</f>
        <v>418.06</v>
      </c>
      <c r="F93" s="204" t="str">
        <f t="shared" ref="F93:F102" si="65">IF(D93=0,"-",IF(D93&gt;=$R$92,$T$92,IF(D93&gt;=$R$93,$T$93,IF(D93&gt;=$R$94,$T$94,IF(D93&gt;=$R$95,$T$95,IF(D93&gt;=$R$96,$T$96,$T$97))))))</f>
        <v>B</v>
      </c>
      <c r="G93" s="204"/>
      <c r="H93" s="80"/>
      <c r="I93" s="81" t="s">
        <v>111</v>
      </c>
      <c r="J93" s="77">
        <f t="shared" ref="J93:J100" si="66">COUNTIF($F$93:$G$102,I93)</f>
        <v>3</v>
      </c>
      <c r="K93" s="7">
        <f t="shared" ref="K93:K101" si="67">ROUND((J93*100)/$J$101,2)</f>
        <v>37.5</v>
      </c>
      <c r="L93" s="1"/>
      <c r="M93" s="1"/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  <c r="U93" s="1"/>
    </row>
    <row r="94" spans="1:21" ht="21" x14ac:dyDescent="0.35">
      <c r="A94" s="6">
        <f t="shared" ref="A94:C102" si="68">A9</f>
        <v>2</v>
      </c>
      <c r="B94" s="6">
        <f t="shared" si="68"/>
        <v>651201118</v>
      </c>
      <c r="C94" s="78" t="str">
        <f t="shared" si="68"/>
        <v>นางสาวชนากานต์ เนียมอ้ม</v>
      </c>
      <c r="D94" s="3">
        <f t="shared" ref="D94:E102" si="69">ROUND(SUM(E9,H9,K9,N9,Q9,T9,E25,H25,K25,N25,Q25,T25,E42,H42,K42,N42,Q42,T42,E59,H59,K59,N59,Q59,T59,E76,H76,K76,N76,Q76,T76),2)</f>
        <v>83.6</v>
      </c>
      <c r="E94" s="8">
        <f t="shared" si="69"/>
        <v>488.18</v>
      </c>
      <c r="F94" s="204" t="str">
        <f t="shared" si="65"/>
        <v>B+</v>
      </c>
      <c r="G94" s="204"/>
      <c r="H94" s="80"/>
      <c r="I94" s="77" t="s">
        <v>110</v>
      </c>
      <c r="J94" s="77">
        <f t="shared" si="66"/>
        <v>2</v>
      </c>
      <c r="K94" s="7">
        <f t="shared" si="67"/>
        <v>25</v>
      </c>
      <c r="L94" s="1"/>
      <c r="M94" s="1"/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  <c r="U94" s="1"/>
    </row>
    <row r="95" spans="1:21" ht="21" x14ac:dyDescent="0.35">
      <c r="A95" s="6">
        <f t="shared" si="68"/>
        <v>3</v>
      </c>
      <c r="B95" s="6">
        <f t="shared" si="68"/>
        <v>651201119</v>
      </c>
      <c r="C95" s="78" t="str">
        <f t="shared" si="68"/>
        <v>นางสาวชลดา ผ่อนจรุง</v>
      </c>
      <c r="D95" s="3">
        <f t="shared" si="69"/>
        <v>89.59</v>
      </c>
      <c r="E95" s="8">
        <f t="shared" si="69"/>
        <v>624.36</v>
      </c>
      <c r="F95" s="204" t="str">
        <f t="shared" si="65"/>
        <v>A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L95" s="1"/>
      <c r="M95" s="1"/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  <c r="U95" s="1"/>
    </row>
    <row r="96" spans="1:21" ht="21" x14ac:dyDescent="0.35">
      <c r="A96" s="6">
        <f t="shared" si="68"/>
        <v>4</v>
      </c>
      <c r="B96" s="6">
        <f t="shared" si="68"/>
        <v>651201120</v>
      </c>
      <c r="C96" s="78" t="str">
        <f t="shared" si="68"/>
        <v>นางสาวชลทิชา ศรีกระหวัน</v>
      </c>
      <c r="D96" s="3">
        <f t="shared" si="69"/>
        <v>84.6</v>
      </c>
      <c r="E96" s="8">
        <f t="shared" si="69"/>
        <v>532.88</v>
      </c>
      <c r="F96" s="204" t="str">
        <f t="shared" si="65"/>
        <v>B+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L96" s="1"/>
      <c r="M96" s="1"/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  <c r="U96" s="1"/>
    </row>
    <row r="97" spans="1:21" ht="21" x14ac:dyDescent="0.35">
      <c r="A97" s="6">
        <f t="shared" si="68"/>
        <v>5</v>
      </c>
      <c r="B97" s="6">
        <f t="shared" si="68"/>
        <v>651201121</v>
      </c>
      <c r="C97" s="78" t="str">
        <f t="shared" si="68"/>
        <v>นางสาวชลธิชา ทองมาก</v>
      </c>
      <c r="D97" s="3">
        <f t="shared" si="69"/>
        <v>90.91</v>
      </c>
      <c r="E97" s="8">
        <f t="shared" si="69"/>
        <v>657.11</v>
      </c>
      <c r="F97" s="204" t="str">
        <f t="shared" si="65"/>
        <v>A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L97" s="1"/>
      <c r="M97" s="1"/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  <c r="U97" s="1"/>
    </row>
    <row r="98" spans="1:21" ht="21" x14ac:dyDescent="0.35">
      <c r="A98" s="6">
        <f t="shared" si="68"/>
        <v>6</v>
      </c>
      <c r="B98" s="6">
        <f t="shared" si="68"/>
        <v>651201122</v>
      </c>
      <c r="C98" s="78" t="str">
        <f t="shared" si="68"/>
        <v>นางสาวชลธิชา ปราบพาลา</v>
      </c>
      <c r="D98" s="3">
        <f t="shared" si="69"/>
        <v>86.62</v>
      </c>
      <c r="E98" s="8">
        <f t="shared" si="69"/>
        <v>562.12</v>
      </c>
      <c r="F98" s="204" t="str">
        <f t="shared" si="65"/>
        <v>A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  <c r="S98" s="1"/>
      <c r="T98" s="1"/>
      <c r="U98" s="1"/>
    </row>
    <row r="99" spans="1:21" ht="21" x14ac:dyDescent="0.35">
      <c r="A99" s="6">
        <f t="shared" si="68"/>
        <v>7</v>
      </c>
      <c r="B99" s="6">
        <f t="shared" si="68"/>
        <v>651201123</v>
      </c>
      <c r="C99" s="78" t="str">
        <f t="shared" si="68"/>
        <v>นางสาวฐิติมา วงเวียน</v>
      </c>
      <c r="D99" s="3">
        <f t="shared" si="69"/>
        <v>83.23</v>
      </c>
      <c r="E99" s="8">
        <f t="shared" si="69"/>
        <v>481.12</v>
      </c>
      <c r="F99" s="204" t="str">
        <f t="shared" si="65"/>
        <v>B+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  <c r="S99" s="1"/>
      <c r="T99" s="1"/>
      <c r="U99" s="1"/>
    </row>
    <row r="100" spans="1:21" ht="21" x14ac:dyDescent="0.35">
      <c r="A100" s="6">
        <f t="shared" si="68"/>
        <v>8</v>
      </c>
      <c r="B100" s="6">
        <f t="shared" si="68"/>
        <v>651201124</v>
      </c>
      <c r="C100" s="78" t="str">
        <f t="shared" si="68"/>
        <v>นางสาวณัฐกานต์ ศรีกรินทร์</v>
      </c>
      <c r="D100" s="3">
        <f t="shared" si="69"/>
        <v>79.91</v>
      </c>
      <c r="E100" s="8">
        <f t="shared" si="69"/>
        <v>415.43</v>
      </c>
      <c r="F100" s="204" t="str">
        <f t="shared" si="65"/>
        <v>B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  <c r="S100" s="1"/>
      <c r="T100" s="1"/>
      <c r="U100" s="1"/>
    </row>
    <row r="101" spans="1:21" ht="21" x14ac:dyDescent="0.35">
      <c r="A101" s="6">
        <f t="shared" si="68"/>
        <v>9</v>
      </c>
      <c r="B101" s="6">
        <f t="shared" si="68"/>
        <v>0</v>
      </c>
      <c r="C101" s="78">
        <f t="shared" si="68"/>
        <v>0</v>
      </c>
      <c r="D101" s="3">
        <f t="shared" si="69"/>
        <v>0</v>
      </c>
      <c r="E101" s="8">
        <f t="shared" si="69"/>
        <v>0</v>
      </c>
      <c r="F101" s="204" t="str">
        <f t="shared" si="65"/>
        <v>-</v>
      </c>
      <c r="G101" s="204"/>
      <c r="H101" s="80"/>
      <c r="I101" s="83" t="s">
        <v>1</v>
      </c>
      <c r="J101" s="83">
        <f>SUM(J92:J100)</f>
        <v>8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  <c r="S101" s="1"/>
      <c r="T101" s="1"/>
      <c r="U101" s="1"/>
    </row>
    <row r="102" spans="1:21" ht="21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 x14ac:dyDescent="0.35">
      <c r="A103" s="2"/>
      <c r="B103" s="2"/>
      <c r="C103" s="79"/>
      <c r="D103" s="19"/>
      <c r="E103" s="19"/>
      <c r="F103" s="42"/>
      <c r="G103" s="42"/>
      <c r="H103" s="42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 x14ac:dyDescent="0.35">
      <c r="A104" s="2"/>
      <c r="B104" s="2"/>
      <c r="C104" s="2"/>
      <c r="D104" s="1"/>
      <c r="E104" s="1"/>
      <c r="F104" s="1"/>
      <c r="G104" s="1"/>
      <c r="H104" s="1"/>
      <c r="I104" s="45"/>
      <c r="J104" s="4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 x14ac:dyDescent="0.35">
      <c r="A105" s="2"/>
      <c r="B105" s="85" t="s">
        <v>147</v>
      </c>
      <c r="C105" s="2"/>
      <c r="D105" s="1"/>
      <c r="E105" s="1"/>
      <c r="F105" s="1"/>
      <c r="G105" s="1"/>
      <c r="H105" s="1"/>
      <c r="I105" s="45"/>
      <c r="J105" s="45"/>
      <c r="K105" s="45"/>
      <c r="L105" s="1" t="s">
        <v>2</v>
      </c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H106" s="1"/>
      <c r="I106" s="5" t="s">
        <v>38</v>
      </c>
      <c r="J106" s="9"/>
      <c r="K106" s="1"/>
      <c r="L106" s="5"/>
      <c r="M106" s="1"/>
      <c r="N106" s="1"/>
      <c r="O106" s="5" t="s">
        <v>39</v>
      </c>
      <c r="P106" s="1"/>
      <c r="Q106" s="9"/>
      <c r="R106" s="1"/>
      <c r="S106" s="1"/>
      <c r="T106" s="1"/>
      <c r="U106" s="1"/>
    </row>
    <row r="107" spans="1:21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H107" s="1"/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N107" s="1"/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  <c r="U107" s="1"/>
    </row>
    <row r="108" spans="1:21" ht="21" x14ac:dyDescent="0.35">
      <c r="A108" s="6">
        <f>A8</f>
        <v>1</v>
      </c>
      <c r="B108" s="6">
        <f t="shared" ref="B108:C108" si="70">B8</f>
        <v>651201117</v>
      </c>
      <c r="C108" s="78" t="str">
        <f t="shared" si="70"/>
        <v>นางสาวจุฑาลกั ษณ์ จำปาที</v>
      </c>
      <c r="D108" s="3">
        <f>ROUND(SUM(E8,H8,K8,N8,Q8,T8,E24,H24,K24,N24,Q24,T24,E41,H41,K41,N41,Q41,T41,E58,H58,K58,N58,Q58,T58,E75,H75,K75,N75,Q75,T75),2)</f>
        <v>79.97</v>
      </c>
      <c r="E108" s="3">
        <f>ROUND(SUM(F8,I8,L8,O8,R8,U8,F24,I24,L24,O24,R24,U24,F41,I41,L41,O41,R41,U41,F58,I58,L58,O58,R58,U58,F75,I75,L75,O75,R75,U75),2)</f>
        <v>418.06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B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H108" s="1"/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N108" s="1"/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  <c r="U108" s="1"/>
    </row>
    <row r="109" spans="1:21" ht="21" x14ac:dyDescent="0.35">
      <c r="A109" s="6">
        <f t="shared" ref="A109:C117" si="72">A9</f>
        <v>2</v>
      </c>
      <c r="B109" s="6">
        <f t="shared" si="72"/>
        <v>651201118</v>
      </c>
      <c r="C109" s="78" t="str">
        <f t="shared" si="72"/>
        <v>นางสาวชนากานต์ เนียมอ้ม</v>
      </c>
      <c r="D109" s="3">
        <f t="shared" ref="D109:E117" si="73">ROUND(SUM(E9,H9,K9,N9,Q9,T9,E25,H25,K25,N25,Q25,T25,E42,H42,K42,N42,Q42,T42,E59,H59,K59,N59,Q59,T59,E76,H76,K76,N76,Q76,T76),2)</f>
        <v>83.6</v>
      </c>
      <c r="E109" s="3">
        <f t="shared" si="73"/>
        <v>488.18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B+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H109" s="1"/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N109" s="1"/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  <c r="U109" s="1"/>
    </row>
    <row r="110" spans="1:21" ht="21" x14ac:dyDescent="0.35">
      <c r="A110" s="6">
        <f t="shared" si="72"/>
        <v>3</v>
      </c>
      <c r="B110" s="6">
        <f t="shared" si="72"/>
        <v>651201119</v>
      </c>
      <c r="C110" s="78" t="str">
        <f t="shared" si="72"/>
        <v>นางสาวชลดา ผ่อนจรุง</v>
      </c>
      <c r="D110" s="3">
        <f t="shared" si="73"/>
        <v>89.59</v>
      </c>
      <c r="E110" s="3">
        <f t="shared" si="73"/>
        <v>624.36</v>
      </c>
      <c r="F110" s="7" t="str">
        <f t="shared" si="74"/>
        <v>B+</v>
      </c>
      <c r="G110" s="7" t="str">
        <f t="shared" si="75"/>
        <v>-</v>
      </c>
      <c r="H110" s="1"/>
      <c r="I110" s="47">
        <f>IF(OR($E$128=8,$E$128=6,$E$128=4),$J$111+0.01,"-")</f>
        <v>628.65</v>
      </c>
      <c r="J110" s="47">
        <f>IF(OR($E$128=8,$E$128=6,$E$128=4),$I$110+$E$129,"-")</f>
        <v>792.93</v>
      </c>
      <c r="K110" s="91">
        <f t="shared" si="76"/>
        <v>164.27999999999997</v>
      </c>
      <c r="L110" s="7" t="str">
        <f>IF($E$128=8,$C$126,IF($E$128=6,$C$125,IF($E$128=4,$C$124,"-")))</f>
        <v>A</v>
      </c>
      <c r="M110" s="27">
        <f t="shared" si="77"/>
        <v>1</v>
      </c>
      <c r="N110" s="1"/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  <c r="U110" s="1"/>
    </row>
    <row r="111" spans="1:21" ht="21" x14ac:dyDescent="0.35">
      <c r="A111" s="6">
        <f t="shared" si="72"/>
        <v>4</v>
      </c>
      <c r="B111" s="6">
        <f t="shared" si="72"/>
        <v>651201120</v>
      </c>
      <c r="C111" s="78" t="str">
        <f t="shared" si="72"/>
        <v>นางสาวชลทิชา ศรีกระหวัน</v>
      </c>
      <c r="D111" s="3">
        <f t="shared" si="73"/>
        <v>84.6</v>
      </c>
      <c r="E111" s="3">
        <f t="shared" si="73"/>
        <v>532.88</v>
      </c>
      <c r="F111" s="7" t="str">
        <f t="shared" si="74"/>
        <v>B+</v>
      </c>
      <c r="G111" s="7" t="str">
        <f t="shared" si="75"/>
        <v>-</v>
      </c>
      <c r="H111" s="1"/>
      <c r="I111" s="88">
        <f>IF(OR($E$128=2,$E$128=4,$E$128=6,$E$128=8),$E$124,"-")</f>
        <v>464.36</v>
      </c>
      <c r="J111" s="61">
        <f>IF(OR($E$128=2,$E$128=4,$E$128=6,$E$128=8),$E$124+E129,"-")</f>
        <v>628.64</v>
      </c>
      <c r="K111" s="91">
        <f t="shared" si="76"/>
        <v>164.27999999999997</v>
      </c>
      <c r="L111" s="7" t="str">
        <f>IF($E$128=8,$C$127,IF($E$128=6,$C$126,IF($E$128=4,$C$125,IF($E$128=2,$C$124,"-"))))</f>
        <v>B+</v>
      </c>
      <c r="M111" s="27">
        <f t="shared" si="77"/>
        <v>5</v>
      </c>
      <c r="N111" s="1"/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  <c r="U111" s="1"/>
    </row>
    <row r="112" spans="1:21" ht="21" x14ac:dyDescent="0.35">
      <c r="A112" s="6">
        <f t="shared" si="72"/>
        <v>5</v>
      </c>
      <c r="B112" s="6">
        <f t="shared" si="72"/>
        <v>651201121</v>
      </c>
      <c r="C112" s="78" t="str">
        <f t="shared" si="72"/>
        <v>นางสาวชลธิชา ทองมาก</v>
      </c>
      <c r="D112" s="3">
        <f t="shared" si="73"/>
        <v>90.91</v>
      </c>
      <c r="E112" s="3">
        <f t="shared" si="73"/>
        <v>657.11</v>
      </c>
      <c r="F112" s="7" t="str">
        <f t="shared" si="74"/>
        <v>A</v>
      </c>
      <c r="G112" s="7" t="str">
        <f t="shared" si="75"/>
        <v>-</v>
      </c>
      <c r="H112" s="1"/>
      <c r="I112" s="47">
        <f>IF(OR($E$128=2,$E$128=4,$E$128=6,$E$128=8),$J$112-$E$129,"-")</f>
        <v>300.07000000000005</v>
      </c>
      <c r="J112" s="61">
        <f>IF(OR($E$128=2,$E$128=4,$E$128=6,$E$128=8),$E$124-0.01,"-")</f>
        <v>464.35</v>
      </c>
      <c r="K112" s="91">
        <f t="shared" si="76"/>
        <v>164.27999999999997</v>
      </c>
      <c r="L112" s="7" t="str">
        <f>IF($E$128=8,$C$128,IF($E$128=6,$C$127,IF($E$128=4,$C$126,IF($E$128=2,$C$125,"-"))))</f>
        <v>B</v>
      </c>
      <c r="M112" s="27">
        <f t="shared" si="77"/>
        <v>2</v>
      </c>
      <c r="N112" s="1"/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  <c r="U112" s="1"/>
    </row>
    <row r="113" spans="1:21" ht="21" x14ac:dyDescent="0.35">
      <c r="A113" s="6">
        <f t="shared" si="72"/>
        <v>6</v>
      </c>
      <c r="B113" s="6">
        <f t="shared" si="72"/>
        <v>651201122</v>
      </c>
      <c r="C113" s="78" t="str">
        <f t="shared" si="72"/>
        <v>นางสาวชลธิชา ปราบพาลา</v>
      </c>
      <c r="D113" s="3">
        <f t="shared" si="73"/>
        <v>86.62</v>
      </c>
      <c r="E113" s="3">
        <f t="shared" si="73"/>
        <v>562.12</v>
      </c>
      <c r="F113" s="7" t="str">
        <f t="shared" si="74"/>
        <v>B+</v>
      </c>
      <c r="G113" s="7" t="str">
        <f t="shared" si="75"/>
        <v>-</v>
      </c>
      <c r="H113" s="1"/>
      <c r="I113" s="47">
        <f>IF(OR($E$128=4,$E$128=6,$E$128=8),$J$113-$E$129,"-")</f>
        <v>135.78000000000006</v>
      </c>
      <c r="J113" s="47">
        <f>IF(OR($E$128=8,$E$128=6,$E$128=4),$I$112-0.01,"-")</f>
        <v>300.06000000000006</v>
      </c>
      <c r="K113" s="91">
        <f t="shared" si="76"/>
        <v>164.28</v>
      </c>
      <c r="L113" s="7" t="str">
        <f>IF($E$128=8,$C$129,IF($E$128=6,$C$128,IF($E$128=4,$C$127,"-")))</f>
        <v>C+</v>
      </c>
      <c r="M113" s="27">
        <f t="shared" si="77"/>
        <v>0</v>
      </c>
      <c r="N113" s="1"/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  <c r="U113" s="1"/>
    </row>
    <row r="114" spans="1:21" ht="22" thickBot="1" x14ac:dyDescent="0.4">
      <c r="A114" s="6">
        <f t="shared" si="72"/>
        <v>7</v>
      </c>
      <c r="B114" s="6">
        <f t="shared" si="72"/>
        <v>651201123</v>
      </c>
      <c r="C114" s="78" t="str">
        <f t="shared" si="72"/>
        <v>นางสาวฐิติมา วงเวียน</v>
      </c>
      <c r="D114" s="3">
        <f t="shared" si="73"/>
        <v>83.23</v>
      </c>
      <c r="E114" s="3">
        <f t="shared" si="73"/>
        <v>481.12</v>
      </c>
      <c r="F114" s="7" t="str">
        <f t="shared" si="74"/>
        <v>B+</v>
      </c>
      <c r="G114" s="7" t="str">
        <f t="shared" si="75"/>
        <v>-</v>
      </c>
      <c r="H114" s="1"/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N114" s="1"/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  <c r="U114" s="1"/>
    </row>
    <row r="115" spans="1:21" ht="22" thickBot="1" x14ac:dyDescent="0.4">
      <c r="A115" s="6">
        <f t="shared" si="72"/>
        <v>8</v>
      </c>
      <c r="B115" s="6">
        <f t="shared" si="72"/>
        <v>651201124</v>
      </c>
      <c r="C115" s="78" t="str">
        <f t="shared" si="72"/>
        <v>นางสาวณัฐกานต์ ศรีกรินทร์</v>
      </c>
      <c r="D115" s="3">
        <f t="shared" si="73"/>
        <v>79.91</v>
      </c>
      <c r="E115" s="3">
        <f t="shared" si="73"/>
        <v>415.43</v>
      </c>
      <c r="F115" s="7" t="str">
        <f t="shared" si="74"/>
        <v>B</v>
      </c>
      <c r="G115" s="7" t="str">
        <f t="shared" si="75"/>
        <v>-</v>
      </c>
      <c r="H115" s="1"/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N115" s="1"/>
      <c r="O115" s="259" t="s">
        <v>1</v>
      </c>
      <c r="P115" s="259"/>
      <c r="Q115" s="259"/>
      <c r="R115" s="259"/>
      <c r="S115" s="259"/>
      <c r="T115" s="94">
        <f>SUM(T108:T114)</f>
        <v>0</v>
      </c>
      <c r="U115" s="1"/>
    </row>
    <row r="116" spans="1:21" ht="22" thickBot="1" x14ac:dyDescent="0.4">
      <c r="A116" s="6">
        <f t="shared" si="72"/>
        <v>9</v>
      </c>
      <c r="B116" s="6">
        <f t="shared" si="72"/>
        <v>0</v>
      </c>
      <c r="C116" s="78">
        <f t="shared" si="72"/>
        <v>0</v>
      </c>
      <c r="D116" s="3">
        <f t="shared" si="73"/>
        <v>0</v>
      </c>
      <c r="E116" s="3">
        <f t="shared" si="73"/>
        <v>0</v>
      </c>
      <c r="F116" s="7" t="str">
        <f t="shared" si="74"/>
        <v>I/E</v>
      </c>
      <c r="G116" s="7" t="str">
        <f t="shared" si="75"/>
        <v>-</v>
      </c>
      <c r="H116" s="1"/>
      <c r="I116" s="218" t="s">
        <v>1</v>
      </c>
      <c r="J116" s="219"/>
      <c r="K116" s="219"/>
      <c r="L116" s="220"/>
      <c r="M116" s="94">
        <f>SUM(M108:M115)</f>
        <v>8</v>
      </c>
      <c r="N116" s="1"/>
      <c r="O116" s="1"/>
      <c r="P116" s="1"/>
      <c r="Q116" s="1"/>
      <c r="R116" s="1"/>
      <c r="S116" s="1"/>
      <c r="T116" s="1"/>
      <c r="U116" s="1"/>
    </row>
    <row r="117" spans="1:21" ht="21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 x14ac:dyDescent="0.35">
      <c r="A118" s="2"/>
      <c r="B118" s="2"/>
      <c r="C118" s="79"/>
      <c r="D118" s="9"/>
      <c r="E118" s="9"/>
      <c r="F118" s="42"/>
      <c r="G118" s="4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 x14ac:dyDescent="0.35">
      <c r="A119" s="2"/>
      <c r="B119" s="2"/>
      <c r="C119" s="79"/>
      <c r="D119" s="9"/>
      <c r="E119" s="9"/>
      <c r="F119" s="42"/>
      <c r="G119" s="4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 x14ac:dyDescent="0.35">
      <c r="A120" s="2"/>
      <c r="B120" s="2"/>
      <c r="C120" s="79"/>
      <c r="D120" s="9"/>
      <c r="E120" s="9"/>
      <c r="F120" s="42"/>
      <c r="G120" s="4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 x14ac:dyDescent="0.35">
      <c r="A121" s="2"/>
      <c r="B121" s="2"/>
      <c r="C121" s="79"/>
      <c r="D121" s="9"/>
      <c r="E121" s="9"/>
      <c r="F121" s="42"/>
      <c r="G121" s="4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 x14ac:dyDescent="0.35">
      <c r="A122" s="2"/>
      <c r="B122" s="2"/>
      <c r="C122" s="79"/>
      <c r="D122" s="9"/>
      <c r="E122" s="9"/>
      <c r="F122" s="42"/>
      <c r="G122" s="4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 x14ac:dyDescent="0.35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 x14ac:dyDescent="0.35">
      <c r="A124" s="2"/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464.36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 x14ac:dyDescent="0.35">
      <c r="A125" s="2"/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657.11</v>
      </c>
      <c r="F125" s="1"/>
      <c r="G125" s="1"/>
      <c r="H125" s="1"/>
      <c r="I125" s="1"/>
      <c r="J125" s="1"/>
      <c r="K125" s="1"/>
      <c r="L125" s="1"/>
      <c r="M125" s="1"/>
      <c r="N125" s="1"/>
      <c r="O125" s="1" t="s">
        <v>154</v>
      </c>
      <c r="P125" s="1"/>
      <c r="Q125" s="1"/>
      <c r="R125" s="1"/>
      <c r="S125" s="1"/>
      <c r="T125" s="1"/>
      <c r="U125" s="1"/>
    </row>
    <row r="126" spans="1:21" ht="21" x14ac:dyDescent="0.35">
      <c r="A126" s="2"/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>
        <v>1</v>
      </c>
      <c r="P126" s="1" t="s">
        <v>137</v>
      </c>
      <c r="Q126" s="1"/>
      <c r="R126" s="1"/>
      <c r="S126" s="1"/>
      <c r="T126" s="1"/>
      <c r="U126" s="1"/>
    </row>
    <row r="127" spans="1:21" ht="21" x14ac:dyDescent="0.35">
      <c r="A127" s="2"/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657.11</v>
      </c>
      <c r="F127" s="1"/>
      <c r="G127" s="1"/>
      <c r="H127" s="1"/>
      <c r="I127" s="1"/>
      <c r="J127" s="1"/>
      <c r="K127" s="1"/>
      <c r="L127" s="1"/>
      <c r="M127" s="1"/>
      <c r="N127" s="1"/>
      <c r="O127" s="1">
        <v>2</v>
      </c>
      <c r="P127" s="1" t="s">
        <v>155</v>
      </c>
      <c r="Q127" s="1"/>
      <c r="R127" s="1"/>
      <c r="S127" s="1"/>
      <c r="T127" s="1"/>
      <c r="U127" s="1"/>
    </row>
    <row r="128" spans="1:21" ht="21" x14ac:dyDescent="0.35">
      <c r="A128" s="2"/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G128" s="1"/>
      <c r="H128" s="1"/>
      <c r="I128" s="1"/>
      <c r="J128" s="1"/>
      <c r="K128" s="1"/>
      <c r="L128" s="1"/>
      <c r="M128" s="1"/>
      <c r="N128" s="1"/>
      <c r="O128" s="1">
        <v>3</v>
      </c>
      <c r="P128" s="1" t="s">
        <v>156</v>
      </c>
      <c r="Q128" s="1"/>
      <c r="R128" s="1"/>
      <c r="S128" s="1"/>
      <c r="T128" s="1"/>
      <c r="U128" s="1"/>
    </row>
    <row r="129" spans="1:21" ht="21" x14ac:dyDescent="0.35">
      <c r="A129" s="2"/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164.28</v>
      </c>
      <c r="F129" s="1"/>
      <c r="G129" s="1"/>
      <c r="H129" s="1"/>
      <c r="I129" s="1"/>
      <c r="J129" s="1"/>
      <c r="K129" s="1"/>
      <c r="L129" s="1"/>
      <c r="M129" s="1"/>
      <c r="N129" s="1"/>
      <c r="O129" s="202"/>
      <c r="P129" s="202"/>
      <c r="Q129" s="202"/>
      <c r="R129" s="202"/>
      <c r="S129" s="202"/>
      <c r="T129" s="1"/>
      <c r="U129" s="1"/>
    </row>
    <row r="130" spans="1:21" ht="21" x14ac:dyDescent="0.35">
      <c r="A130" s="2"/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G130" s="1"/>
      <c r="H130" s="1"/>
      <c r="I130" s="1"/>
      <c r="J130" s="1"/>
      <c r="K130" s="1"/>
      <c r="L130" s="1"/>
      <c r="M130" s="1"/>
      <c r="N130" s="1"/>
      <c r="O130" s="202"/>
      <c r="P130" s="202"/>
      <c r="Q130" s="202"/>
      <c r="R130" s="202"/>
      <c r="S130" s="202"/>
      <c r="T130" s="1"/>
      <c r="U130" s="1"/>
    </row>
    <row r="131" spans="1:21" ht="21" x14ac:dyDescent="0.35">
      <c r="A131" s="2"/>
      <c r="B131" s="6">
        <f>$B$124-3.5</f>
        <v>0.5</v>
      </c>
      <c r="C131" s="6" t="str">
        <f t="shared" si="80"/>
        <v>E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1"/>
      <c r="P131" s="221"/>
      <c r="Q131" s="221"/>
      <c r="R131" s="221"/>
      <c r="S131" s="221"/>
      <c r="T131" s="1"/>
      <c r="U131" s="1"/>
    </row>
    <row r="132" spans="1:21" ht="21" x14ac:dyDescent="0.35">
      <c r="A132" s="2"/>
      <c r="B132" s="6">
        <f>$B$124-4</f>
        <v>0</v>
      </c>
      <c r="C132" s="6" t="str">
        <f>IF(B132=4,"A",IF(B132=3.5,"B+",IF(B132=3,"B",IF(B132=2.5,"C+",IF(B132=2,"C",IF(B132=1.5,"D+",IF(B132=1,"D","E")))))))</f>
        <v>E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 x14ac:dyDescent="0.35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 x14ac:dyDescent="0.35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 x14ac:dyDescent="0.35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 x14ac:dyDescent="0.35">
      <c r="A136" s="2"/>
      <c r="B136" s="2"/>
      <c r="C136" s="256" t="s">
        <v>188</v>
      </c>
      <c r="D136" s="256"/>
      <c r="E136" s="256"/>
      <c r="F136" s="1"/>
      <c r="G136" s="1">
        <v>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 x14ac:dyDescent="0.35">
      <c r="A139" s="6">
        <f>A8</f>
        <v>1</v>
      </c>
      <c r="B139" s="6">
        <f t="shared" ref="B139:C139" si="81">B8</f>
        <v>651201117</v>
      </c>
      <c r="C139" s="78" t="str">
        <f t="shared" si="81"/>
        <v>นางสาวจุฑาลกั ษณ์ จำปาที</v>
      </c>
      <c r="D139" s="3">
        <f>D93</f>
        <v>79.97</v>
      </c>
      <c r="E139" s="3">
        <f>E93</f>
        <v>418.06</v>
      </c>
      <c r="F139" s="204" t="str">
        <f>IF($G$136=1,F93,IF($G$136=2,F108,G108))</f>
        <v>B</v>
      </c>
      <c r="G139" s="20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 x14ac:dyDescent="0.35">
      <c r="A140" s="6">
        <f t="shared" ref="A140:C148" si="82">A9</f>
        <v>2</v>
      </c>
      <c r="B140" s="6">
        <f t="shared" si="82"/>
        <v>651201118</v>
      </c>
      <c r="C140" s="78" t="str">
        <f t="shared" si="82"/>
        <v>นางสาวชนากานต์ เนียมอ้ม</v>
      </c>
      <c r="D140" s="3">
        <f t="shared" ref="D140:E148" si="83">D94</f>
        <v>83.6</v>
      </c>
      <c r="E140" s="3">
        <f t="shared" si="83"/>
        <v>488.18</v>
      </c>
      <c r="F140" s="204" t="str">
        <f t="shared" ref="F140:F148" si="84">IF($G$136=1,F94,IF($G$136=2,F109,G109))</f>
        <v>B+</v>
      </c>
      <c r="G140" s="20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 x14ac:dyDescent="0.35">
      <c r="A141" s="6">
        <f t="shared" si="82"/>
        <v>3</v>
      </c>
      <c r="B141" s="6">
        <f t="shared" si="82"/>
        <v>651201119</v>
      </c>
      <c r="C141" s="78" t="str">
        <f t="shared" si="82"/>
        <v>นางสาวชลดา ผ่อนจรุง</v>
      </c>
      <c r="D141" s="3">
        <f t="shared" si="83"/>
        <v>89.59</v>
      </c>
      <c r="E141" s="3">
        <f t="shared" si="83"/>
        <v>624.36</v>
      </c>
      <c r="F141" s="204" t="str">
        <f t="shared" si="84"/>
        <v>A</v>
      </c>
      <c r="G141" s="20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 x14ac:dyDescent="0.35">
      <c r="A142" s="6">
        <f t="shared" si="82"/>
        <v>4</v>
      </c>
      <c r="B142" s="6">
        <f t="shared" si="82"/>
        <v>651201120</v>
      </c>
      <c r="C142" s="78" t="str">
        <f t="shared" si="82"/>
        <v>นางสาวชลทิชา ศรีกระหวัน</v>
      </c>
      <c r="D142" s="3">
        <f t="shared" si="83"/>
        <v>84.6</v>
      </c>
      <c r="E142" s="3">
        <f t="shared" si="83"/>
        <v>532.88</v>
      </c>
      <c r="F142" s="204" t="str">
        <f t="shared" si="84"/>
        <v>B+</v>
      </c>
      <c r="G142" s="20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 x14ac:dyDescent="0.35">
      <c r="A143" s="6">
        <f t="shared" si="82"/>
        <v>5</v>
      </c>
      <c r="B143" s="6">
        <f t="shared" si="82"/>
        <v>651201121</v>
      </c>
      <c r="C143" s="78" t="str">
        <f t="shared" si="82"/>
        <v>นางสาวชลธิชา ทองมาก</v>
      </c>
      <c r="D143" s="3">
        <f t="shared" si="83"/>
        <v>90.91</v>
      </c>
      <c r="E143" s="3">
        <f t="shared" si="83"/>
        <v>657.11</v>
      </c>
      <c r="F143" s="204" t="str">
        <f t="shared" si="84"/>
        <v>A</v>
      </c>
      <c r="G143" s="20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 x14ac:dyDescent="0.35">
      <c r="A144" s="6">
        <f t="shared" si="82"/>
        <v>6</v>
      </c>
      <c r="B144" s="6">
        <f t="shared" si="82"/>
        <v>651201122</v>
      </c>
      <c r="C144" s="78" t="str">
        <f t="shared" si="82"/>
        <v>นางสาวชลธิชา ปราบพาลา</v>
      </c>
      <c r="D144" s="3">
        <f t="shared" si="83"/>
        <v>86.62</v>
      </c>
      <c r="E144" s="3">
        <f t="shared" si="83"/>
        <v>562.12</v>
      </c>
      <c r="F144" s="204" t="str">
        <f t="shared" si="84"/>
        <v>A</v>
      </c>
      <c r="G144" s="20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 x14ac:dyDescent="0.35">
      <c r="A145" s="6">
        <f t="shared" si="82"/>
        <v>7</v>
      </c>
      <c r="B145" s="6">
        <f t="shared" si="82"/>
        <v>651201123</v>
      </c>
      <c r="C145" s="78" t="str">
        <f t="shared" si="82"/>
        <v>นางสาวฐิติมา วงเวียน</v>
      </c>
      <c r="D145" s="3">
        <f t="shared" si="83"/>
        <v>83.23</v>
      </c>
      <c r="E145" s="3">
        <f t="shared" si="83"/>
        <v>481.12</v>
      </c>
      <c r="F145" s="204" t="str">
        <f t="shared" si="84"/>
        <v>B+</v>
      </c>
      <c r="G145" s="20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 x14ac:dyDescent="0.35">
      <c r="A146" s="6">
        <f t="shared" si="82"/>
        <v>8</v>
      </c>
      <c r="B146" s="6">
        <f t="shared" si="82"/>
        <v>651201124</v>
      </c>
      <c r="C146" s="78" t="str">
        <f t="shared" si="82"/>
        <v>นางสาวณัฐกานต์ ศรีกรินทร์</v>
      </c>
      <c r="D146" s="3">
        <f t="shared" si="83"/>
        <v>79.91</v>
      </c>
      <c r="E146" s="3">
        <f t="shared" si="83"/>
        <v>415.43</v>
      </c>
      <c r="F146" s="204" t="str">
        <f t="shared" si="84"/>
        <v>B</v>
      </c>
      <c r="G146" s="20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 x14ac:dyDescent="0.35">
      <c r="A147" s="6">
        <f t="shared" si="82"/>
        <v>9</v>
      </c>
      <c r="B147" s="6">
        <f t="shared" si="82"/>
        <v>0</v>
      </c>
      <c r="C147" s="78">
        <f t="shared" si="82"/>
        <v>0</v>
      </c>
      <c r="D147" s="3">
        <f t="shared" si="83"/>
        <v>0</v>
      </c>
      <c r="E147" s="3">
        <f t="shared" si="83"/>
        <v>0</v>
      </c>
      <c r="F147" s="204" t="str">
        <f t="shared" si="84"/>
        <v>-</v>
      </c>
      <c r="G147" s="20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 x14ac:dyDescent="0.35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</sheetData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6609" r:id="rId3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127000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U148"/>
  <sheetViews>
    <sheetView view="pageBreakPreview" zoomScale="75" zoomScaleSheetLayoutView="80" workbookViewId="0">
      <selection sqref="A1:U3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9" style="1" customWidth="1"/>
    <col min="5" max="5" width="6.5" style="1" customWidth="1"/>
    <col min="6" max="6" width="8.83203125" style="1" customWidth="1"/>
    <col min="7" max="7" width="7.6640625" style="1" customWidth="1"/>
    <col min="8" max="8" width="9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7.1640625" style="1" customWidth="1"/>
    <col min="17" max="18" width="7.6640625" style="1" customWidth="1"/>
    <col min="19" max="19" width="6.6640625" style="1" customWidth="1"/>
    <col min="20" max="16384" width="9" style="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x14ac:dyDescent="0.35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83">
        <v>651201125</v>
      </c>
      <c r="C8" s="283" t="s">
        <v>241</v>
      </c>
      <c r="D8" s="69">
        <v>135</v>
      </c>
      <c r="E8" s="8">
        <f>IF(D8="-","-",IF(D8=0,0,(D8*$E$7)/$D$7))</f>
        <v>46.285714285714285</v>
      </c>
      <c r="F8" s="3">
        <f>IF(D8="-","-",IF(D8=0,0,IF($D$19=0,50,(50+(10*(STANDARDIZE(D8,$D$18,$D$19)))))*$F$7))</f>
        <v>241.72868924577386</v>
      </c>
      <c r="G8" s="69">
        <v>57</v>
      </c>
      <c r="H8" s="8">
        <f>IF(G8="-","-",IF(G8=0,0,(G8*$H$7)/$G$7))</f>
        <v>7.6</v>
      </c>
      <c r="I8" s="3">
        <f>IF(G8="-","-",IF(G8=0,0,IF($G$19=0,50,(50+(10*(STANDARDIZE(G8,$G$18,$G$19)))))*$I$7))</f>
        <v>46.270513320324184</v>
      </c>
      <c r="J8" s="69">
        <v>42</v>
      </c>
      <c r="K8" s="8">
        <f>IF(J8="-","-",IF(J8=0,0,(J8*$K$7)/$J$7))</f>
        <v>8.4</v>
      </c>
      <c r="L8" s="3">
        <f>IF(J8="-","-",IF(J8=0,0,IF(J19=0,50,(50+(10*(STANDARDIZE(J8,$J$18,$J$19)))))*$L$7))</f>
        <v>34.409760888441909</v>
      </c>
      <c r="M8" s="69">
        <v>26</v>
      </c>
      <c r="N8" s="8">
        <f>IF(M8="-","-",IF(M8=0,0,(M8*$N$7)/$M$7))</f>
        <v>4.333333333333333</v>
      </c>
      <c r="O8" s="3">
        <f>IF(M8="-","-",IF(M8=0,0,IF($M$19=0,50,(50+(10*(STANDARDIZE(M8,$M$18,$M$19)))))*$O$7))</f>
        <v>25</v>
      </c>
      <c r="P8" s="69">
        <v>78</v>
      </c>
      <c r="Q8" s="8">
        <f>IF(P8="-","-",IF(P8=0,0,(P8*$Q$7)/$P$7))</f>
        <v>8.6666666666666661</v>
      </c>
      <c r="R8" s="3">
        <f>IF(P8="-","-",IF(P8=0,0,IF($P$19=0,50,(50+(10*(STANDARDIZE(P8,$P$18,$P$19)))))*$R$7))</f>
        <v>50</v>
      </c>
      <c r="S8">
        <v>13</v>
      </c>
      <c r="T8" s="8">
        <f>IF(S8="-","-",IF(S8=0,0,(S8*$T$7)/$S$7))</f>
        <v>3.25</v>
      </c>
      <c r="U8" s="3">
        <f>IF(S8="-","-",IF(S8=0,0,IF($S$19=0,50,(50+(10*(STANDARDIZE(S8,$S$18,$S$19)))))*$U$7))</f>
        <v>49.506307190117937</v>
      </c>
    </row>
    <row r="9" spans="1:21" ht="27" x14ac:dyDescent="0.45">
      <c r="A9" s="95">
        <v>2</v>
      </c>
      <c r="B9" s="283">
        <v>651201126</v>
      </c>
      <c r="C9" s="283" t="s">
        <v>242</v>
      </c>
      <c r="D9" s="69">
        <v>143</v>
      </c>
      <c r="E9" s="8">
        <f t="shared" ref="E9:E17" si="0">IF(D9="-","-",IF(D9=0,0,(D9*$E$7)/$D$7))</f>
        <v>49.028571428571432</v>
      </c>
      <c r="F9" s="3">
        <f t="shared" ref="F9:F16" si="1">IF(D9="-","-",IF(D9=0,0,IF($D$19=0,50,(50+(10*(STANDARDIZE(D9,$D$18,$D$19)))))*$F$7))</f>
        <v>284.10782433975652</v>
      </c>
      <c r="G9" s="69">
        <v>57</v>
      </c>
      <c r="H9" s="8">
        <f t="shared" ref="H9:H17" si="2">IF(G9="-","-",IF(G9=0,0,(G9*$H$7)/$G$7))</f>
        <v>7.6</v>
      </c>
      <c r="I9" s="3">
        <f t="shared" ref="I9:I17" si="3">IF(G9="-","-",IF(G9=0,0,IF($G$19=0,50,(50+(10*(STANDARDIZE(G9,$G$18,$G$19)))))*$I$7))</f>
        <v>46.270513320324184</v>
      </c>
      <c r="J9" s="69">
        <v>45</v>
      </c>
      <c r="K9" s="8">
        <f t="shared" ref="K9:K17" si="4">IF(J9="-","-",IF(J9=0,0,(J9*$K$7)/$J$7))</f>
        <v>9</v>
      </c>
      <c r="L9" s="3">
        <f t="shared" ref="L9:L17" si="5">IF(J9="-","-",IF(J9=0,0,IF(J20=0,50,(50+(10*(STANDARDIZE(J9,$J$18,$J$19)))))*$L$7))</f>
        <v>50</v>
      </c>
      <c r="M9" s="69">
        <v>26</v>
      </c>
      <c r="N9" s="8">
        <f t="shared" ref="N9:N17" si="6">IF(M9="-","-",IF(M9=0,0,(M9*$N$7)/$M$7))</f>
        <v>4.333333333333333</v>
      </c>
      <c r="O9" s="3">
        <f t="shared" ref="O9:O17" si="7">IF(M9="-","-",IF(M9=0,0,IF($M$19=0,50,(50+(10*(STANDARDIZE(M9,$M$18,$M$19)))))*$O$7))</f>
        <v>25</v>
      </c>
      <c r="P9" s="69">
        <v>78</v>
      </c>
      <c r="Q9" s="8">
        <f t="shared" ref="Q9:Q17" si="8">IF(P9="-","-",IF(P9=0,0,(P9*$Q$7)/$P$7))</f>
        <v>8.6666666666666661</v>
      </c>
      <c r="R9" s="3">
        <f t="shared" ref="R9:R17" si="9">IF(P9="-","-",IF(P9=0,0,IF($P$19=0,50,(50+(10*(STANDARDIZE(P9,$P$18,$P$19)))))*$R$7))</f>
        <v>50</v>
      </c>
      <c r="S9">
        <v>14</v>
      </c>
      <c r="T9" s="8">
        <f t="shared" ref="T9:T17" si="10">IF(S9="-","-",IF(S9=0,0,(S9*$T$7)/$S$7))</f>
        <v>3.5</v>
      </c>
      <c r="U9" s="3">
        <f t="shared" ref="U9:U17" si="11">IF(S9="-","-",IF(S9=0,0,IF($S$19=0,50,(50+(10*(STANDARDIZE(S9,$S$18,$S$19)))))*$U$7))</f>
        <v>53.455849669174448</v>
      </c>
    </row>
    <row r="10" spans="1:21" ht="27" x14ac:dyDescent="0.45">
      <c r="A10" s="95">
        <v>3</v>
      </c>
      <c r="B10" s="283">
        <v>651201127</v>
      </c>
      <c r="C10" s="283" t="s">
        <v>243</v>
      </c>
      <c r="D10" s="69">
        <v>148</v>
      </c>
      <c r="E10" s="8">
        <f t="shared" si="0"/>
        <v>50.74285714285714</v>
      </c>
      <c r="F10" s="3">
        <f t="shared" si="1"/>
        <v>310.59478377349564</v>
      </c>
      <c r="G10" s="69">
        <v>59</v>
      </c>
      <c r="H10" s="8">
        <f t="shared" si="2"/>
        <v>7.8666666666666663</v>
      </c>
      <c r="I10" s="3">
        <f t="shared" si="3"/>
        <v>49.411133682156446</v>
      </c>
      <c r="J10" s="69">
        <v>45</v>
      </c>
      <c r="K10" s="8">
        <f t="shared" si="4"/>
        <v>9</v>
      </c>
      <c r="L10" s="3">
        <f t="shared" si="5"/>
        <v>50</v>
      </c>
      <c r="M10" s="69">
        <v>26</v>
      </c>
      <c r="N10" s="8">
        <f t="shared" si="6"/>
        <v>4.333333333333333</v>
      </c>
      <c r="O10" s="3">
        <f t="shared" si="7"/>
        <v>25</v>
      </c>
      <c r="P10" s="69">
        <v>78</v>
      </c>
      <c r="Q10" s="8">
        <f t="shared" si="8"/>
        <v>8.6666666666666661</v>
      </c>
      <c r="R10" s="3">
        <f t="shared" si="9"/>
        <v>50</v>
      </c>
      <c r="S10">
        <v>10</v>
      </c>
      <c r="T10" s="8">
        <f t="shared" si="10"/>
        <v>2.5</v>
      </c>
      <c r="U10" s="3">
        <f t="shared" si="11"/>
        <v>37.657679752948397</v>
      </c>
    </row>
    <row r="11" spans="1:21" ht="27" x14ac:dyDescent="0.45">
      <c r="A11" s="95">
        <v>4</v>
      </c>
      <c r="B11" s="283">
        <v>651201128</v>
      </c>
      <c r="C11" s="283" t="s">
        <v>244</v>
      </c>
      <c r="D11" s="69">
        <v>161</v>
      </c>
      <c r="E11" s="8">
        <f t="shared" si="0"/>
        <v>55.2</v>
      </c>
      <c r="F11" s="3">
        <f t="shared" si="1"/>
        <v>379.46087830121746</v>
      </c>
      <c r="G11" s="69">
        <v>69</v>
      </c>
      <c r="H11" s="8">
        <f t="shared" si="2"/>
        <v>9.1999999999999993</v>
      </c>
      <c r="I11" s="3">
        <f t="shared" si="3"/>
        <v>65.114235491317785</v>
      </c>
      <c r="J11" s="69">
        <v>46</v>
      </c>
      <c r="K11" s="8">
        <f t="shared" si="4"/>
        <v>9.1999999999999993</v>
      </c>
      <c r="L11" s="3">
        <f t="shared" si="5"/>
        <v>59.354143466934858</v>
      </c>
      <c r="M11" s="69">
        <v>26</v>
      </c>
      <c r="N11" s="8">
        <f t="shared" si="6"/>
        <v>4.333333333333333</v>
      </c>
      <c r="O11" s="3">
        <f t="shared" si="7"/>
        <v>25</v>
      </c>
      <c r="P11" s="69">
        <v>78</v>
      </c>
      <c r="Q11" s="8">
        <f t="shared" si="8"/>
        <v>8.6666666666666661</v>
      </c>
      <c r="R11" s="3">
        <f t="shared" si="9"/>
        <v>50</v>
      </c>
      <c r="S11">
        <v>17</v>
      </c>
      <c r="T11" s="8">
        <f t="shared" si="10"/>
        <v>4.25</v>
      </c>
      <c r="U11" s="3">
        <f t="shared" si="11"/>
        <v>65.304477106343995</v>
      </c>
    </row>
    <row r="12" spans="1:21" ht="27" x14ac:dyDescent="0.45">
      <c r="A12" s="95">
        <v>5</v>
      </c>
      <c r="B12" s="283">
        <v>651201129</v>
      </c>
      <c r="C12" s="283" t="s">
        <v>245</v>
      </c>
      <c r="D12" s="69">
        <v>131</v>
      </c>
      <c r="E12" s="8">
        <f t="shared" si="0"/>
        <v>44.914285714285711</v>
      </c>
      <c r="F12" s="3">
        <f t="shared" si="1"/>
        <v>220.53912169878257</v>
      </c>
      <c r="G12" s="69">
        <v>49</v>
      </c>
      <c r="H12" s="8">
        <f t="shared" si="2"/>
        <v>6.5333333333333332</v>
      </c>
      <c r="I12" s="3">
        <f t="shared" si="3"/>
        <v>33.708031872995122</v>
      </c>
      <c r="J12" s="69">
        <v>46</v>
      </c>
      <c r="K12" s="8">
        <f t="shared" si="4"/>
        <v>9.1999999999999993</v>
      </c>
      <c r="L12" s="3">
        <f t="shared" si="5"/>
        <v>50</v>
      </c>
      <c r="M12" s="69">
        <v>26</v>
      </c>
      <c r="N12" s="8">
        <f t="shared" si="6"/>
        <v>4.333333333333333</v>
      </c>
      <c r="O12" s="3">
        <f t="shared" si="7"/>
        <v>25</v>
      </c>
      <c r="P12" s="69">
        <v>78</v>
      </c>
      <c r="Q12" s="8">
        <f t="shared" si="8"/>
        <v>8.6666666666666661</v>
      </c>
      <c r="R12" s="3">
        <f t="shared" si="9"/>
        <v>50</v>
      </c>
      <c r="S12">
        <v>14</v>
      </c>
      <c r="T12" s="8">
        <f t="shared" si="10"/>
        <v>3.5</v>
      </c>
      <c r="U12" s="3">
        <f t="shared" si="11"/>
        <v>53.455849669174448</v>
      </c>
    </row>
    <row r="13" spans="1:21" ht="27" x14ac:dyDescent="0.45">
      <c r="A13" s="95">
        <v>6</v>
      </c>
      <c r="B13" s="283">
        <v>651201130</v>
      </c>
      <c r="C13" s="283" t="s">
        <v>246</v>
      </c>
      <c r="D13" s="69">
        <v>159</v>
      </c>
      <c r="E13" s="8">
        <f t="shared" si="0"/>
        <v>54.514285714285712</v>
      </c>
      <c r="F13" s="3">
        <f t="shared" si="1"/>
        <v>368.86609452772177</v>
      </c>
      <c r="G13" s="69">
        <v>65</v>
      </c>
      <c r="H13" s="8">
        <f t="shared" si="2"/>
        <v>8.6666666666666661</v>
      </c>
      <c r="I13" s="3">
        <f t="shared" si="3"/>
        <v>58.832994767653247</v>
      </c>
      <c r="J13" s="69">
        <v>42</v>
      </c>
      <c r="K13" s="8">
        <f t="shared" si="4"/>
        <v>8.4</v>
      </c>
      <c r="L13" s="3">
        <f t="shared" si="5"/>
        <v>50</v>
      </c>
      <c r="M13" s="69">
        <v>26</v>
      </c>
      <c r="N13" s="8">
        <f t="shared" si="6"/>
        <v>4.333333333333333</v>
      </c>
      <c r="O13" s="3">
        <f t="shared" si="7"/>
        <v>25</v>
      </c>
      <c r="P13" s="69">
        <v>78</v>
      </c>
      <c r="Q13" s="8">
        <f t="shared" si="8"/>
        <v>8.6666666666666661</v>
      </c>
      <c r="R13" s="3">
        <f t="shared" si="9"/>
        <v>50</v>
      </c>
      <c r="S13">
        <v>14</v>
      </c>
      <c r="T13" s="8">
        <f t="shared" si="10"/>
        <v>3.5</v>
      </c>
      <c r="U13" s="3">
        <f t="shared" si="11"/>
        <v>53.455849669174448</v>
      </c>
    </row>
    <row r="14" spans="1:21" ht="27" x14ac:dyDescent="0.45">
      <c r="A14" s="95">
        <v>7</v>
      </c>
      <c r="B14" s="283">
        <v>651201131</v>
      </c>
      <c r="C14" s="283" t="s">
        <v>247</v>
      </c>
      <c r="D14" s="69">
        <v>137</v>
      </c>
      <c r="E14" s="8">
        <f t="shared" si="0"/>
        <v>46.971428571428568</v>
      </c>
      <c r="F14" s="3">
        <f t="shared" si="1"/>
        <v>252.3234730192695</v>
      </c>
      <c r="G14" s="69">
        <v>55</v>
      </c>
      <c r="H14" s="8">
        <f t="shared" si="2"/>
        <v>7.333333333333333</v>
      </c>
      <c r="I14" s="3">
        <f t="shared" si="3"/>
        <v>43.129892958491915</v>
      </c>
      <c r="J14" s="69">
        <v>45</v>
      </c>
      <c r="K14" s="8">
        <f t="shared" si="4"/>
        <v>9</v>
      </c>
      <c r="L14" s="3">
        <f t="shared" si="5"/>
        <v>50</v>
      </c>
      <c r="M14" s="69">
        <v>26</v>
      </c>
      <c r="N14" s="8">
        <f t="shared" si="6"/>
        <v>4.333333333333333</v>
      </c>
      <c r="O14" s="3">
        <f t="shared" si="7"/>
        <v>25</v>
      </c>
      <c r="P14" s="69">
        <v>78</v>
      </c>
      <c r="Q14" s="8">
        <f t="shared" si="8"/>
        <v>8.6666666666666661</v>
      </c>
      <c r="R14" s="3">
        <f t="shared" si="9"/>
        <v>50</v>
      </c>
      <c r="S14">
        <v>9</v>
      </c>
      <c r="T14" s="8">
        <f t="shared" si="10"/>
        <v>2.25</v>
      </c>
      <c r="U14" s="3">
        <f t="shared" si="11"/>
        <v>33.708137273891886</v>
      </c>
    </row>
    <row r="15" spans="1:21" ht="27" x14ac:dyDescent="0.45">
      <c r="A15" s="95">
        <v>8</v>
      </c>
      <c r="B15" s="283">
        <v>651201132</v>
      </c>
      <c r="C15" s="283" t="s">
        <v>248</v>
      </c>
      <c r="D15" s="69">
        <v>154</v>
      </c>
      <c r="E15" s="8">
        <f t="shared" si="0"/>
        <v>52.8</v>
      </c>
      <c r="F15" s="3">
        <f t="shared" si="1"/>
        <v>342.37913509398265</v>
      </c>
      <c r="G15" s="69">
        <v>64</v>
      </c>
      <c r="H15" s="8">
        <f t="shared" si="2"/>
        <v>8.5333333333333332</v>
      </c>
      <c r="I15" s="3">
        <f t="shared" si="3"/>
        <v>57.262684586737116</v>
      </c>
      <c r="J15" s="69">
        <v>45</v>
      </c>
      <c r="K15" s="8">
        <f t="shared" si="4"/>
        <v>9</v>
      </c>
      <c r="L15" s="3">
        <f t="shared" si="5"/>
        <v>50</v>
      </c>
      <c r="M15" s="69">
        <v>26</v>
      </c>
      <c r="N15" s="8">
        <f t="shared" si="6"/>
        <v>4.333333333333333</v>
      </c>
      <c r="O15" s="3">
        <f t="shared" si="7"/>
        <v>25</v>
      </c>
      <c r="P15" s="69">
        <v>78</v>
      </c>
      <c r="Q15" s="8">
        <f t="shared" si="8"/>
        <v>8.6666666666666661</v>
      </c>
      <c r="R15" s="3">
        <f t="shared" si="9"/>
        <v>50</v>
      </c>
      <c r="S15">
        <v>14</v>
      </c>
      <c r="T15" s="8">
        <f t="shared" si="10"/>
        <v>3.5</v>
      </c>
      <c r="U15" s="3">
        <f t="shared" si="11"/>
        <v>53.455849669174448</v>
      </c>
    </row>
    <row r="16" spans="1: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18" customHeight="1" x14ac:dyDescent="0.35">
      <c r="C18" s="42" t="s">
        <v>13</v>
      </c>
      <c r="D18" s="9">
        <f>AVERAGE($D$8:$D$17)</f>
        <v>146</v>
      </c>
      <c r="E18" s="2"/>
      <c r="F18" s="2"/>
      <c r="G18" s="9">
        <f>AVERAGE($G$8:$G$17)</f>
        <v>59.375</v>
      </c>
      <c r="J18" s="9">
        <f>AVERAGE($J$8:$J$17)</f>
        <v>44.5</v>
      </c>
      <c r="M18" s="9">
        <f>AVERAGE($M$8:$M$17)</f>
        <v>26</v>
      </c>
      <c r="P18" s="9">
        <f>AVERAGE($P$8:$P$17)</f>
        <v>78</v>
      </c>
      <c r="S18" s="9">
        <f>AVERAGE($S$8:$S$17)</f>
        <v>13.125</v>
      </c>
    </row>
    <row r="19" spans="1:21" ht="18" customHeight="1" x14ac:dyDescent="0.35">
      <c r="C19" s="42" t="s">
        <v>14</v>
      </c>
      <c r="D19" s="9">
        <f>STDEV($D$8:$D$17)</f>
        <v>11.326328367379885</v>
      </c>
      <c r="E19" s="2"/>
      <c r="F19" s="2"/>
      <c r="G19" s="9">
        <f>STDEV($G$8:$G$17)</f>
        <v>6.3681686086795342</v>
      </c>
      <c r="J19" s="9">
        <f>STDEV($J$8:$J$17)</f>
        <v>1.6035674514745464</v>
      </c>
      <c r="M19" s="9">
        <f>STDEV($M$8:$M$17)</f>
        <v>0</v>
      </c>
      <c r="P19" s="9">
        <f>STDEV($P$8:$P$17)</f>
        <v>0</v>
      </c>
      <c r="S19" s="9">
        <f>STDEV(S8:S17)</f>
        <v>2.5319388392523003</v>
      </c>
    </row>
    <row r="20" spans="1:21" ht="18" customHeight="1" x14ac:dyDescent="0.35"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18" customHeight="1" x14ac:dyDescent="0.35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x14ac:dyDescent="0.35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22" x14ac:dyDescent="0.35">
      <c r="A24" s="6">
        <v>1</v>
      </c>
      <c r="B24" s="38">
        <f>B8</f>
        <v>651201125</v>
      </c>
      <c r="C24" s="39" t="str">
        <f>C8</f>
        <v>นางสาวณัฐตรียา นาใจเย็น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22" x14ac:dyDescent="0.35">
      <c r="A25" s="6">
        <v>2</v>
      </c>
      <c r="B25" s="38">
        <f t="shared" ref="B25:C33" si="12">B9</f>
        <v>651201126</v>
      </c>
      <c r="C25" s="39" t="str">
        <f t="shared" si="12"/>
        <v>นางสาวณัฐธิดา สอนศิริ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22" x14ac:dyDescent="0.35">
      <c r="A26" s="6">
        <v>3</v>
      </c>
      <c r="B26" s="38">
        <f t="shared" si="12"/>
        <v>651201127</v>
      </c>
      <c r="C26" s="39" t="str">
        <f t="shared" si="12"/>
        <v>นางสาวดารภา สีดี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22" x14ac:dyDescent="0.35">
      <c r="A27" s="6">
        <v>4</v>
      </c>
      <c r="B27" s="38">
        <f t="shared" si="12"/>
        <v>651201128</v>
      </c>
      <c r="C27" s="39" t="str">
        <f t="shared" si="12"/>
        <v>นางสาวเดือนเพ็ญ ไชยโสดา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22" x14ac:dyDescent="0.35">
      <c r="A28" s="6">
        <v>5</v>
      </c>
      <c r="B28" s="38">
        <f t="shared" si="12"/>
        <v>651201129</v>
      </c>
      <c r="C28" s="39" t="str">
        <f t="shared" si="12"/>
        <v>นางสาวทิวาพร แคนำ้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22" x14ac:dyDescent="0.35">
      <c r="A29" s="6">
        <v>6</v>
      </c>
      <c r="B29" s="38">
        <f t="shared" si="12"/>
        <v>651201130</v>
      </c>
      <c r="C29" s="39" t="str">
        <f t="shared" si="12"/>
        <v>นางสาวธนิตา ธาตุแสง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22" x14ac:dyDescent="0.35">
      <c r="A30" s="6">
        <v>7</v>
      </c>
      <c r="B30" s="38">
        <f t="shared" si="12"/>
        <v>651201131</v>
      </c>
      <c r="C30" s="39" t="str">
        <f t="shared" si="12"/>
        <v>นางสาวธัญญารัตน์ แสนศรี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22" x14ac:dyDescent="0.35">
      <c r="A31" s="6">
        <v>8</v>
      </c>
      <c r="B31" s="38">
        <f t="shared" si="12"/>
        <v>651201132</v>
      </c>
      <c r="C31" s="39" t="str">
        <f t="shared" si="12"/>
        <v>นางสาวธันยา บุญเกิด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x14ac:dyDescent="0.35">
      <c r="A32" s="6">
        <v>9</v>
      </c>
      <c r="B32" s="38">
        <f t="shared" si="12"/>
        <v>0</v>
      </c>
      <c r="C32" s="39">
        <f t="shared" si="12"/>
        <v>0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x14ac:dyDescent="0.35">
      <c r="C34" s="42" t="s">
        <v>13</v>
      </c>
      <c r="D34" s="9" t="e">
        <f>AVERAGE($D$24:$D$33)</f>
        <v>#DIV/0!</v>
      </c>
      <c r="G34" s="9" t="e">
        <f>AVERAGE($G$24:$G$33)</f>
        <v>#DIV/0!</v>
      </c>
      <c r="J34" s="9" t="e">
        <f>AVERAGE($J$24:$J$33)</f>
        <v>#DIV/0!</v>
      </c>
      <c r="M34" s="9" t="e">
        <f>AVERAGE($M$24:$M$33)</f>
        <v>#DIV/0!</v>
      </c>
      <c r="P34" s="9" t="e">
        <f>AVERAGE($P$24:$P$33)</f>
        <v>#DIV/0!</v>
      </c>
      <c r="S34" s="72" t="e">
        <f>AVERAGE($S$24:$S$33)</f>
        <v>#DIV/0!</v>
      </c>
    </row>
    <row r="35" spans="1:21" x14ac:dyDescent="0.35">
      <c r="C35" s="42" t="s">
        <v>14</v>
      </c>
      <c r="D35" s="9" t="e">
        <f>STDEV($D$24:$D$33)</f>
        <v>#DIV/0!</v>
      </c>
      <c r="F35" s="5"/>
      <c r="G35" s="9" t="e">
        <f>STDEV($G$24:$G$33)</f>
        <v>#DIV/0!</v>
      </c>
      <c r="J35" s="9" t="e">
        <f>STDEV($J$24:$J$33)</f>
        <v>#DIV/0!</v>
      </c>
      <c r="L35" s="5"/>
      <c r="M35" s="9" t="e">
        <f>STDEV($M$24:$M$33)</f>
        <v>#DIV/0!</v>
      </c>
      <c r="P35" s="9" t="e">
        <f>STDEV($P$24:$P$33)</f>
        <v>#DIV/0!</v>
      </c>
      <c r="S35" s="72" t="e">
        <f>STDEV($S$24:$S$33)</f>
        <v>#DIV/0!</v>
      </c>
    </row>
    <row r="36" spans="1:21" x14ac:dyDescent="0.35">
      <c r="C36" s="42"/>
      <c r="D36" s="9"/>
      <c r="F36" s="5"/>
      <c r="G36" s="9" t="s">
        <v>2</v>
      </c>
      <c r="J36" s="9"/>
      <c r="L36" s="5"/>
      <c r="M36" s="9"/>
      <c r="P36" s="1" t="s">
        <v>2</v>
      </c>
    </row>
    <row r="37" spans="1:21" x14ac:dyDescent="0.35"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</row>
    <row r="38" spans="1:21" x14ac:dyDescent="0.35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x14ac:dyDescent="0.35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22" x14ac:dyDescent="0.35">
      <c r="A41" s="6">
        <v>1</v>
      </c>
      <c r="B41" s="38">
        <f>B8</f>
        <v>651201125</v>
      </c>
      <c r="C41" s="39" t="str">
        <f>C8</f>
        <v>นางสาวณัฐตรียา นาใจเย็น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22" x14ac:dyDescent="0.35">
      <c r="A42" s="6">
        <v>2</v>
      </c>
      <c r="B42" s="38">
        <f t="shared" ref="B42:C50" si="25">B9</f>
        <v>651201126</v>
      </c>
      <c r="C42" s="39" t="str">
        <f t="shared" si="25"/>
        <v>นางสาวณัฐธิดา สอนศิริ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22" x14ac:dyDescent="0.35">
      <c r="A43" s="6">
        <v>3</v>
      </c>
      <c r="B43" s="38">
        <f t="shared" si="25"/>
        <v>651201127</v>
      </c>
      <c r="C43" s="39" t="str">
        <f t="shared" si="25"/>
        <v>นางสาวดารภา สีดี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22" x14ac:dyDescent="0.35">
      <c r="A44" s="6">
        <v>4</v>
      </c>
      <c r="B44" s="38">
        <f t="shared" si="25"/>
        <v>651201128</v>
      </c>
      <c r="C44" s="39" t="str">
        <f t="shared" si="25"/>
        <v>นางสาวเดือนเพ็ญ ไชยโสดา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22" x14ac:dyDescent="0.35">
      <c r="A45" s="6">
        <v>5</v>
      </c>
      <c r="B45" s="38">
        <f t="shared" si="25"/>
        <v>651201129</v>
      </c>
      <c r="C45" s="39" t="str">
        <f t="shared" si="25"/>
        <v>นางสาวทิวาพร แคนำ้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22" x14ac:dyDescent="0.35">
      <c r="A46" s="6">
        <v>6</v>
      </c>
      <c r="B46" s="38">
        <f t="shared" si="25"/>
        <v>651201130</v>
      </c>
      <c r="C46" s="39" t="str">
        <f t="shared" si="25"/>
        <v>นางสาวธนิตา ธาตุแสง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22" x14ac:dyDescent="0.35">
      <c r="A47" s="6">
        <v>7</v>
      </c>
      <c r="B47" s="38">
        <f t="shared" si="25"/>
        <v>651201131</v>
      </c>
      <c r="C47" s="39" t="str">
        <f t="shared" si="25"/>
        <v>นางสาวธัญญารัตน์ แสนศรี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22" x14ac:dyDescent="0.35">
      <c r="A48" s="6">
        <v>8</v>
      </c>
      <c r="B48" s="38">
        <f t="shared" si="25"/>
        <v>651201132</v>
      </c>
      <c r="C48" s="39" t="str">
        <f t="shared" si="25"/>
        <v>นางสาวธันยา บุญเกิด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x14ac:dyDescent="0.35">
      <c r="A49" s="6">
        <v>9</v>
      </c>
      <c r="B49" s="38">
        <f t="shared" si="25"/>
        <v>0</v>
      </c>
      <c r="C49" s="39">
        <f t="shared" si="25"/>
        <v>0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x14ac:dyDescent="0.35">
      <c r="C51" s="42" t="s">
        <v>13</v>
      </c>
      <c r="D51" s="9" t="e">
        <f>AVERAGE($D$41:$D$50)</f>
        <v>#DIV/0!</v>
      </c>
      <c r="G51" s="9" t="e">
        <f>AVERAGE($G$41:$G$50)</f>
        <v>#DIV/0!</v>
      </c>
      <c r="J51" s="9" t="e">
        <f>AVERAGE($J$41:$J$50)</f>
        <v>#DIV/0!</v>
      </c>
      <c r="M51" s="9" t="e">
        <f>AVERAGE($M$41:$M$50)</f>
        <v>#DIV/0!</v>
      </c>
      <c r="P51" s="9" t="e">
        <f>AVERAGE($P$41:$P$50)</f>
        <v>#DIV/0!</v>
      </c>
      <c r="S51" s="9" t="e">
        <f>AVERAGE($S$41:$S$50)</f>
        <v>#DIV/0!</v>
      </c>
    </row>
    <row r="52" spans="1:21" x14ac:dyDescent="0.35">
      <c r="C52" s="42" t="s">
        <v>14</v>
      </c>
      <c r="D52" s="9" t="e">
        <f>STDEV($D$41:$D$50)</f>
        <v>#DIV/0!</v>
      </c>
      <c r="F52" s="5"/>
      <c r="G52" s="9" t="e">
        <f>STDEV($G$41:$G$50)</f>
        <v>#DIV/0!</v>
      </c>
      <c r="J52" s="9" t="e">
        <f>STDEV($J$41:$J$50)</f>
        <v>#DIV/0!</v>
      </c>
      <c r="M52" s="9" t="e">
        <f>STDEV($M$41:$M$50)</f>
        <v>#DIV/0!</v>
      </c>
      <c r="O52" s="5"/>
      <c r="P52" s="9" t="e">
        <f>STDEV($P$41:$P$50)</f>
        <v>#DIV/0!</v>
      </c>
      <c r="R52" s="5"/>
      <c r="S52" s="9" t="e">
        <f>STDEV($S$41:$S$50)</f>
        <v>#DIV/0!</v>
      </c>
    </row>
    <row r="53" spans="1:21" x14ac:dyDescent="0.35">
      <c r="C53" s="42"/>
      <c r="D53" s="9"/>
      <c r="F53" s="5"/>
      <c r="G53" s="9"/>
      <c r="J53" s="9"/>
      <c r="L53" s="5"/>
      <c r="M53" s="9"/>
      <c r="P53" s="1" t="s">
        <v>2</v>
      </c>
    </row>
    <row r="54" spans="1:21" x14ac:dyDescent="0.35"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1:21" ht="18.75" customHeight="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18.75" customHeight="1" x14ac:dyDescent="0.35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22" x14ac:dyDescent="0.35">
      <c r="A58" s="6">
        <v>1</v>
      </c>
      <c r="B58" s="38">
        <f>B8</f>
        <v>651201125</v>
      </c>
      <c r="C58" s="73" t="str">
        <f>C8</f>
        <v>นางสาวณัฐตรียา นาใจเย็น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22" x14ac:dyDescent="0.35">
      <c r="A59" s="6">
        <v>2</v>
      </c>
      <c r="B59" s="38">
        <f t="shared" ref="B59:C67" si="38">B9</f>
        <v>651201126</v>
      </c>
      <c r="C59" s="73" t="str">
        <f t="shared" si="38"/>
        <v>นางสาวณัฐธิดา สอนศิริ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22" x14ac:dyDescent="0.35">
      <c r="A60" s="6">
        <v>3</v>
      </c>
      <c r="B60" s="38">
        <f t="shared" si="38"/>
        <v>651201127</v>
      </c>
      <c r="C60" s="73" t="str">
        <f t="shared" si="38"/>
        <v>นางสาวดารภา สีดี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22" x14ac:dyDescent="0.35">
      <c r="A61" s="6">
        <v>4</v>
      </c>
      <c r="B61" s="38">
        <f t="shared" si="38"/>
        <v>651201128</v>
      </c>
      <c r="C61" s="73" t="str">
        <f t="shared" si="38"/>
        <v>นางสาวเดือนเพ็ญ ไชยโสดา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22" x14ac:dyDescent="0.35">
      <c r="A62" s="6">
        <v>5</v>
      </c>
      <c r="B62" s="38">
        <f t="shared" si="38"/>
        <v>651201129</v>
      </c>
      <c r="C62" s="73" t="str">
        <f t="shared" si="38"/>
        <v>นางสาวทิวาพร แคนำ้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22" x14ac:dyDescent="0.35">
      <c r="A63" s="6">
        <v>6</v>
      </c>
      <c r="B63" s="38">
        <f t="shared" si="38"/>
        <v>651201130</v>
      </c>
      <c r="C63" s="73" t="str">
        <f t="shared" si="38"/>
        <v>นางสาวธนิตา ธาตุแสง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22" x14ac:dyDescent="0.35">
      <c r="A64" s="6">
        <v>7</v>
      </c>
      <c r="B64" s="38">
        <f t="shared" si="38"/>
        <v>651201131</v>
      </c>
      <c r="C64" s="73" t="str">
        <f t="shared" si="38"/>
        <v>นางสาวธัญญารัตน์ แสนศรี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22" x14ac:dyDescent="0.35">
      <c r="A65" s="6">
        <v>8</v>
      </c>
      <c r="B65" s="38">
        <f t="shared" si="38"/>
        <v>651201132</v>
      </c>
      <c r="C65" s="73" t="str">
        <f t="shared" si="38"/>
        <v>นางสาวธันยา บุญเกิด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x14ac:dyDescent="0.35">
      <c r="A66" s="6">
        <v>9</v>
      </c>
      <c r="B66" s="38">
        <f t="shared" si="38"/>
        <v>0</v>
      </c>
      <c r="C66" s="73">
        <f t="shared" si="38"/>
        <v>0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x14ac:dyDescent="0.35">
      <c r="C68" s="42" t="s">
        <v>13</v>
      </c>
      <c r="D68" s="9" t="e">
        <f>AVERAGE($D$58:$D$67)</f>
        <v>#DIV/0!</v>
      </c>
      <c r="G68" s="9" t="e">
        <f>AVERAGE($G$58:$G$67)</f>
        <v>#DIV/0!</v>
      </c>
      <c r="J68" s="9" t="e">
        <f>AVERAGE($J$58:$J$67)</f>
        <v>#DIV/0!</v>
      </c>
      <c r="M68" s="9" t="e">
        <f>AVERAGE($M$58:$M$67)</f>
        <v>#DIV/0!</v>
      </c>
      <c r="P68" s="9" t="e">
        <f>AVERAGE($P$58:$P$67)</f>
        <v>#DIV/0!</v>
      </c>
      <c r="S68" s="9" t="e">
        <f>AVERAGE($S$58:$S$67)</f>
        <v>#DIV/0!</v>
      </c>
    </row>
    <row r="69" spans="1:21" x14ac:dyDescent="0.35">
      <c r="C69" s="42" t="s">
        <v>14</v>
      </c>
      <c r="D69" s="9" t="e">
        <f>STDEV($D$58:$D$67)</f>
        <v>#DIV/0!</v>
      </c>
      <c r="F69" s="5"/>
      <c r="G69" s="9" t="e">
        <f>STDEV($G$58:$G$67)</f>
        <v>#DIV/0!</v>
      </c>
      <c r="J69" s="9" t="e">
        <f>STDEV($J$58:$J$67)</f>
        <v>#DIV/0!</v>
      </c>
      <c r="M69" s="9" t="e">
        <f>STDEV($M$41:$M$50)</f>
        <v>#DIV/0!</v>
      </c>
      <c r="O69" s="5"/>
      <c r="P69" s="9" t="e">
        <f>STDEV($P$58:$P$67)</f>
        <v>#DIV/0!</v>
      </c>
      <c r="R69" s="5"/>
      <c r="S69" s="9" t="e">
        <f>STDEV($S$58:$S$67)</f>
        <v>#DIV/0!</v>
      </c>
    </row>
    <row r="70" spans="1:21" x14ac:dyDescent="0.35">
      <c r="C70" s="42"/>
      <c r="D70" s="9"/>
      <c r="F70" s="5"/>
      <c r="G70" s="9"/>
      <c r="J70" s="9"/>
      <c r="L70" s="5"/>
      <c r="M70" s="9"/>
    </row>
    <row r="71" spans="1:21" x14ac:dyDescent="0.35">
      <c r="C71" s="42"/>
      <c r="D71" s="9"/>
      <c r="F71" s="5"/>
      <c r="G71" s="9"/>
      <c r="J71" s="9"/>
      <c r="L71" s="5"/>
      <c r="M71" s="9"/>
    </row>
    <row r="72" spans="1: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x14ac:dyDescent="0.35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22" x14ac:dyDescent="0.35">
      <c r="A75" s="6">
        <f>A8</f>
        <v>1</v>
      </c>
      <c r="B75" s="38">
        <f>B8</f>
        <v>651201125</v>
      </c>
      <c r="C75" s="39" t="str">
        <f>C8</f>
        <v>นางสาวณัฐตรียา นาใจเย็น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22" x14ac:dyDescent="0.35">
      <c r="A76" s="6">
        <f t="shared" ref="A76:C84" si="51">A9</f>
        <v>2</v>
      </c>
      <c r="B76" s="38">
        <f t="shared" si="51"/>
        <v>651201126</v>
      </c>
      <c r="C76" s="39" t="str">
        <f t="shared" si="51"/>
        <v>นางสาวณัฐธิดา สอนศิริ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22" x14ac:dyDescent="0.35">
      <c r="A77" s="6">
        <f t="shared" si="51"/>
        <v>3</v>
      </c>
      <c r="B77" s="38">
        <f t="shared" si="51"/>
        <v>651201127</v>
      </c>
      <c r="C77" s="39" t="str">
        <f t="shared" si="51"/>
        <v>นางสาวดารภา สีดี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22" x14ac:dyDescent="0.35">
      <c r="A78" s="6">
        <f t="shared" si="51"/>
        <v>4</v>
      </c>
      <c r="B78" s="38">
        <f t="shared" si="51"/>
        <v>651201128</v>
      </c>
      <c r="C78" s="39" t="str">
        <f t="shared" si="51"/>
        <v>นางสาวเดือนเพ็ญ ไชยโสดา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22" x14ac:dyDescent="0.35">
      <c r="A79" s="6">
        <f t="shared" si="51"/>
        <v>5</v>
      </c>
      <c r="B79" s="38">
        <f t="shared" si="51"/>
        <v>651201129</v>
      </c>
      <c r="C79" s="39" t="str">
        <f t="shared" si="51"/>
        <v>นางสาวทิวาพร แคนำ้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22" x14ac:dyDescent="0.35">
      <c r="A80" s="6">
        <f t="shared" si="51"/>
        <v>6</v>
      </c>
      <c r="B80" s="38">
        <f t="shared" si="51"/>
        <v>651201130</v>
      </c>
      <c r="C80" s="39" t="str">
        <f t="shared" si="51"/>
        <v>นางสาวธนิตา ธาตุแสง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22" x14ac:dyDescent="0.35">
      <c r="A81" s="6">
        <f t="shared" si="51"/>
        <v>7</v>
      </c>
      <c r="B81" s="38">
        <f t="shared" si="51"/>
        <v>651201131</v>
      </c>
      <c r="C81" s="39" t="str">
        <f t="shared" si="51"/>
        <v>นางสาวธัญญารัตน์ แสนศรี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22" x14ac:dyDescent="0.35">
      <c r="A82" s="6">
        <f t="shared" si="51"/>
        <v>8</v>
      </c>
      <c r="B82" s="38">
        <f t="shared" si="51"/>
        <v>651201132</v>
      </c>
      <c r="C82" s="39" t="str">
        <f t="shared" si="51"/>
        <v>นางสาวธันยา บุญเกิด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x14ac:dyDescent="0.35">
      <c r="A83" s="6">
        <f t="shared" si="51"/>
        <v>9</v>
      </c>
      <c r="B83" s="38">
        <f t="shared" si="51"/>
        <v>0</v>
      </c>
      <c r="C83" s="39">
        <f t="shared" si="51"/>
        <v>0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x14ac:dyDescent="0.35">
      <c r="C85" s="42" t="s">
        <v>13</v>
      </c>
      <c r="D85" s="9" t="e">
        <f>AVERAGE($D$75:$D$84)</f>
        <v>#DIV/0!</v>
      </c>
      <c r="G85" s="9" t="e">
        <f>AVERAGE($G$75:$G$84)</f>
        <v>#DIV/0!</v>
      </c>
      <c r="J85" s="9" t="e">
        <f>AVERAGE($J$75:$J$84)</f>
        <v>#DIV/0!</v>
      </c>
      <c r="M85" s="9" t="e">
        <f>AVERAGE($M$75:$M$84)</f>
        <v>#DIV/0!</v>
      </c>
      <c r="P85" s="9" t="e">
        <f>AVERAGE($P$75:$P$84)</f>
        <v>#DIV/0!</v>
      </c>
      <c r="S85" s="9" t="e">
        <f>AVERAGE($S$75:$S$84)</f>
        <v>#DIV/0!</v>
      </c>
    </row>
    <row r="86" spans="1:21" x14ac:dyDescent="0.35">
      <c r="C86" s="42" t="s">
        <v>14</v>
      </c>
      <c r="D86" s="9" t="e">
        <f>STDEV($D$75:$D$84)</f>
        <v>#DIV/0!</v>
      </c>
      <c r="F86" s="5"/>
      <c r="G86" s="9" t="e">
        <f>STDEV($G$75:$G$84)</f>
        <v>#DIV/0!</v>
      </c>
      <c r="J86" s="9" t="e">
        <f>STDEV(J75:J84)</f>
        <v>#DIV/0!</v>
      </c>
      <c r="L86" s="5"/>
      <c r="M86" s="9" t="e">
        <f>STDEV($M$75:$M$84)</f>
        <v>#DIV/0!</v>
      </c>
      <c r="P86" s="9" t="e">
        <f>STDEV(P75:P84)</f>
        <v>#DIV/0!</v>
      </c>
      <c r="S86" s="9" t="e">
        <f>STDEV($S$75:$S$84)</f>
        <v>#DIV/0!</v>
      </c>
    </row>
    <row r="87" spans="1:21" x14ac:dyDescent="0.35">
      <c r="C87" s="42"/>
      <c r="D87" s="9"/>
      <c r="F87" s="5"/>
      <c r="G87" s="9"/>
      <c r="J87" s="9"/>
      <c r="L87" s="5"/>
      <c r="M87" s="9"/>
      <c r="P87" s="1" t="s">
        <v>2</v>
      </c>
    </row>
    <row r="88" spans="1:21" x14ac:dyDescent="0.35">
      <c r="C88" s="42"/>
      <c r="D88" s="9"/>
      <c r="F88" s="5"/>
      <c r="G88" s="9"/>
      <c r="J88" s="9"/>
      <c r="L88" s="5"/>
      <c r="M88" s="9"/>
    </row>
    <row r="89" spans="1:21" x14ac:dyDescent="0.35">
      <c r="B89" s="85" t="s">
        <v>148</v>
      </c>
      <c r="C89" s="42"/>
      <c r="D89" s="9"/>
      <c r="F89" s="5"/>
      <c r="G89" s="9"/>
      <c r="J89" s="9"/>
      <c r="L89" s="5"/>
      <c r="M89" s="9"/>
      <c r="P89" s="9"/>
    </row>
    <row r="90" spans="1:21" x14ac:dyDescent="0.35">
      <c r="C90" s="42"/>
      <c r="D90" s="9"/>
      <c r="F90" s="5"/>
      <c r="G90" s="9"/>
    </row>
    <row r="91" spans="1: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</row>
    <row r="92" spans="1: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3</v>
      </c>
      <c r="K92" s="7">
        <f>ROUND((J92*100)/$J$101,2)</f>
        <v>37.5</v>
      </c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</row>
    <row r="93" spans="1:21" x14ac:dyDescent="0.35">
      <c r="A93" s="6">
        <f>A8</f>
        <v>1</v>
      </c>
      <c r="B93" s="6">
        <f t="shared" ref="B93:C93" si="64">B8</f>
        <v>651201125</v>
      </c>
      <c r="C93" s="78" t="str">
        <f t="shared" si="64"/>
        <v>นางสาวณัฐตรียา นาใจเย็น</v>
      </c>
      <c r="D93" s="3">
        <f>ROUND(SUM(E8,H8,K8,N8,Q8,T8,E24,H24,K24,N24,Q24,T24,E41,H41,K41,N41,Q41,T41,E58,H58,K58,N58,Q58,T58,E75,H75,K75,N75,Q75,T75),2)</f>
        <v>78.540000000000006</v>
      </c>
      <c r="E93" s="8">
        <f>ROUND(SUM(F8,I8,L8,O8,R8,U8,F24,I24,L24,O24,R24,U24,F41,I41,L41,O41,R41,U41,F58,I58,L58,O58,R58,U58,F75,I75,L75,O75,R75,U75),2)</f>
        <v>446.92</v>
      </c>
      <c r="F93" s="204" t="str">
        <f t="shared" ref="F93:F102" si="65">IF(D93=0,"-",IF(D93&gt;=$R$92,$T$92,IF(D93&gt;=$R$93,$T$93,IF(D93&gt;=$R$94,$T$94,IF(D93&gt;=$R$95,$T$95,IF(D93&gt;=$R$96,$T$96,$T$97))))))</f>
        <v>B</v>
      </c>
      <c r="G93" s="204"/>
      <c r="H93" s="80"/>
      <c r="I93" s="81" t="s">
        <v>111</v>
      </c>
      <c r="J93" s="77">
        <f t="shared" ref="J93:J100" si="66">COUNTIF($F$93:$G$102,I93)</f>
        <v>2</v>
      </c>
      <c r="K93" s="7">
        <f t="shared" ref="K93:K101" si="67">ROUND((J93*100)/$J$101,2)</f>
        <v>25</v>
      </c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</row>
    <row r="94" spans="1:21" x14ac:dyDescent="0.35">
      <c r="A94" s="6">
        <f t="shared" ref="A94:C102" si="68">A9</f>
        <v>2</v>
      </c>
      <c r="B94" s="6">
        <f t="shared" si="68"/>
        <v>651201126</v>
      </c>
      <c r="C94" s="78" t="str">
        <f t="shared" si="68"/>
        <v>นางสาวณัฐธิดา สอนศิริ</v>
      </c>
      <c r="D94" s="3">
        <f t="shared" ref="D94:E102" si="69">ROUND(SUM(E9,H9,K9,N9,Q9,T9,E25,H25,K25,N25,Q25,T25,E42,H42,K42,N42,Q42,T42,E59,H59,K59,N59,Q59,T59,E76,H76,K76,N76,Q76,T76),2)</f>
        <v>82.13</v>
      </c>
      <c r="E94" s="8">
        <f t="shared" si="69"/>
        <v>508.83</v>
      </c>
      <c r="F94" s="204" t="str">
        <f t="shared" si="65"/>
        <v>B+</v>
      </c>
      <c r="G94" s="204"/>
      <c r="H94" s="80"/>
      <c r="I94" s="77" t="s">
        <v>110</v>
      </c>
      <c r="J94" s="77">
        <f t="shared" si="66"/>
        <v>3</v>
      </c>
      <c r="K94" s="7">
        <f t="shared" si="67"/>
        <v>37.5</v>
      </c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</row>
    <row r="95" spans="1:21" x14ac:dyDescent="0.35">
      <c r="A95" s="6">
        <f t="shared" si="68"/>
        <v>3</v>
      </c>
      <c r="B95" s="6">
        <f t="shared" si="68"/>
        <v>651201127</v>
      </c>
      <c r="C95" s="78" t="str">
        <f t="shared" si="68"/>
        <v>นางสาวดารภา สีดี</v>
      </c>
      <c r="D95" s="3">
        <f t="shared" si="69"/>
        <v>83.11</v>
      </c>
      <c r="E95" s="8">
        <f t="shared" si="69"/>
        <v>522.66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</row>
    <row r="96" spans="1:21" x14ac:dyDescent="0.35">
      <c r="A96" s="6">
        <f t="shared" si="68"/>
        <v>4</v>
      </c>
      <c r="B96" s="6">
        <f t="shared" si="68"/>
        <v>651201128</v>
      </c>
      <c r="C96" s="78" t="str">
        <f t="shared" si="68"/>
        <v>นางสาวเดือนเพ็ญ ไชยโสดา</v>
      </c>
      <c r="D96" s="3">
        <f t="shared" si="69"/>
        <v>90.85</v>
      </c>
      <c r="E96" s="8">
        <f t="shared" si="69"/>
        <v>644.23</v>
      </c>
      <c r="F96" s="204" t="str">
        <f t="shared" si="65"/>
        <v>A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</row>
    <row r="97" spans="1:20" x14ac:dyDescent="0.35">
      <c r="A97" s="6">
        <f t="shared" si="68"/>
        <v>5</v>
      </c>
      <c r="B97" s="6">
        <f t="shared" si="68"/>
        <v>651201129</v>
      </c>
      <c r="C97" s="78" t="str">
        <f t="shared" si="68"/>
        <v>นางสาวทิวาพร แคนำ้</v>
      </c>
      <c r="D97" s="3">
        <f t="shared" si="69"/>
        <v>77.150000000000006</v>
      </c>
      <c r="E97" s="8">
        <f t="shared" si="69"/>
        <v>432.7</v>
      </c>
      <c r="F97" s="204" t="str">
        <f t="shared" si="65"/>
        <v>B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</row>
    <row r="98" spans="1:20" x14ac:dyDescent="0.35">
      <c r="A98" s="6">
        <f t="shared" si="68"/>
        <v>6</v>
      </c>
      <c r="B98" s="6">
        <f t="shared" si="68"/>
        <v>651201130</v>
      </c>
      <c r="C98" s="78" t="str">
        <f t="shared" si="68"/>
        <v>นางสาวธนิตา ธาตุแสง</v>
      </c>
      <c r="D98" s="3">
        <f t="shared" si="69"/>
        <v>88.08</v>
      </c>
      <c r="E98" s="8">
        <f t="shared" si="69"/>
        <v>606.15</v>
      </c>
      <c r="F98" s="204" t="str">
        <f t="shared" si="65"/>
        <v>A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</row>
    <row r="99" spans="1:20" x14ac:dyDescent="0.35">
      <c r="A99" s="6">
        <f t="shared" si="68"/>
        <v>7</v>
      </c>
      <c r="B99" s="6">
        <f t="shared" si="68"/>
        <v>651201131</v>
      </c>
      <c r="C99" s="78" t="str">
        <f t="shared" si="68"/>
        <v>นางสาวธัญญารัตน์ แสนศรี</v>
      </c>
      <c r="D99" s="3">
        <f t="shared" si="69"/>
        <v>78.55</v>
      </c>
      <c r="E99" s="8">
        <f t="shared" si="69"/>
        <v>454.16</v>
      </c>
      <c r="F99" s="204" t="str">
        <f t="shared" si="65"/>
        <v>B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</row>
    <row r="100" spans="1:20" x14ac:dyDescent="0.35">
      <c r="A100" s="6">
        <f t="shared" si="68"/>
        <v>8</v>
      </c>
      <c r="B100" s="6">
        <f t="shared" si="68"/>
        <v>651201132</v>
      </c>
      <c r="C100" s="78" t="str">
        <f t="shared" si="68"/>
        <v>นางสาวธันยา บุญเกิด</v>
      </c>
      <c r="D100" s="3">
        <f t="shared" si="69"/>
        <v>86.83</v>
      </c>
      <c r="E100" s="8">
        <f t="shared" si="69"/>
        <v>578.1</v>
      </c>
      <c r="F100" s="204" t="str">
        <f t="shared" si="65"/>
        <v>A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</row>
    <row r="101" spans="1:20" x14ac:dyDescent="0.35">
      <c r="A101" s="6">
        <f t="shared" si="68"/>
        <v>9</v>
      </c>
      <c r="B101" s="6">
        <f t="shared" si="68"/>
        <v>0</v>
      </c>
      <c r="C101" s="78">
        <f t="shared" si="68"/>
        <v>0</v>
      </c>
      <c r="D101" s="3">
        <f t="shared" si="69"/>
        <v>0</v>
      </c>
      <c r="E101" s="8">
        <f t="shared" si="69"/>
        <v>0</v>
      </c>
      <c r="F101" s="204" t="str">
        <f t="shared" si="65"/>
        <v>-</v>
      </c>
      <c r="G101" s="204"/>
      <c r="H101" s="80"/>
      <c r="I101" s="83" t="s">
        <v>1</v>
      </c>
      <c r="J101" s="83">
        <f>SUM(J92:J100)</f>
        <v>8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</row>
    <row r="102" spans="1:20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</row>
    <row r="103" spans="1:20" x14ac:dyDescent="0.35">
      <c r="C103" s="79"/>
      <c r="D103" s="19"/>
      <c r="E103" s="19"/>
      <c r="F103" s="42"/>
      <c r="G103" s="42"/>
      <c r="H103" s="42"/>
      <c r="I103" s="42"/>
    </row>
    <row r="104" spans="1:20" x14ac:dyDescent="0.35">
      <c r="I104" s="45"/>
      <c r="J104" s="45"/>
    </row>
    <row r="105" spans="1:20" x14ac:dyDescent="0.35">
      <c r="B105" s="85" t="s">
        <v>147</v>
      </c>
      <c r="I105" s="45"/>
      <c r="J105" s="45"/>
      <c r="K105" s="45"/>
      <c r="L105" s="1" t="s">
        <v>2</v>
      </c>
    </row>
    <row r="106" spans="1:20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I106" s="5" t="s">
        <v>38</v>
      </c>
      <c r="J106" s="9"/>
      <c r="L106" s="5"/>
      <c r="O106" s="5" t="s">
        <v>39</v>
      </c>
      <c r="Q106" s="9"/>
    </row>
    <row r="107" spans="1:20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</row>
    <row r="108" spans="1:20" x14ac:dyDescent="0.35">
      <c r="A108" s="6">
        <f>A8</f>
        <v>1</v>
      </c>
      <c r="B108" s="6">
        <f t="shared" ref="B108:C108" si="70">B8</f>
        <v>651201125</v>
      </c>
      <c r="C108" s="78" t="str">
        <f t="shared" si="70"/>
        <v>นางสาวณัฐตรียา นาใจเย็น</v>
      </c>
      <c r="D108" s="3">
        <f>ROUND(SUM(E8,H8,K8,N8,Q8,T8,E24,H24,K24,N24,Q24,T24,E41,H41,K41,N41,Q41,T41,E58,H58,K58,N58,Q58,T58,E75,H75,K75,N75,Q75,T75),2)</f>
        <v>78.540000000000006</v>
      </c>
      <c r="E108" s="3">
        <f>ROUND(SUM(F8,I8,L8,O8,R8,U8,F24,I24,L24,O24,R24,U24,F41,I41,L41,O41,R41,U41,F58,I58,L58,O58,R58,U58,F75,I75,L75,O75,R75,U75),2)</f>
        <v>446.92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B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</row>
    <row r="109" spans="1:20" x14ac:dyDescent="0.35">
      <c r="A109" s="6">
        <f t="shared" ref="A109:C117" si="72">A9</f>
        <v>2</v>
      </c>
      <c r="B109" s="6">
        <f t="shared" si="72"/>
        <v>651201126</v>
      </c>
      <c r="C109" s="78" t="str">
        <f t="shared" si="72"/>
        <v>นางสาวณัฐธิดา สอนศิริ</v>
      </c>
      <c r="D109" s="3">
        <f t="shared" ref="D109:E117" si="73">ROUND(SUM(E9,H9,K9,N9,Q9,T9,E25,H25,K25,N25,Q25,T25,E42,H42,K42,N42,Q42,T42,E59,H59,K59,N59,Q59,T59,E76,H76,K76,N76,Q76,T76),2)</f>
        <v>82.13</v>
      </c>
      <c r="E109" s="3">
        <f t="shared" si="73"/>
        <v>508.83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B+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</row>
    <row r="110" spans="1:20" x14ac:dyDescent="0.35">
      <c r="A110" s="6">
        <f t="shared" si="72"/>
        <v>3</v>
      </c>
      <c r="B110" s="6">
        <f t="shared" si="72"/>
        <v>651201127</v>
      </c>
      <c r="C110" s="78" t="str">
        <f t="shared" si="72"/>
        <v>นางสาวดารภา สีดี</v>
      </c>
      <c r="D110" s="3">
        <f t="shared" si="73"/>
        <v>83.11</v>
      </c>
      <c r="E110" s="3">
        <f t="shared" si="73"/>
        <v>522.66</v>
      </c>
      <c r="F110" s="7" t="str">
        <f t="shared" si="74"/>
        <v>B+</v>
      </c>
      <c r="G110" s="7" t="str">
        <f t="shared" si="75"/>
        <v>-</v>
      </c>
      <c r="I110" s="47">
        <f>IF(OR($E$128=8,$E$128=6,$E$128=4),$J$111+0.01,"-")</f>
        <v>627.04</v>
      </c>
      <c r="J110" s="47">
        <f>IF(OR($E$128=8,$E$128=6,$E$128=4),$I$110+$E$129,"-")</f>
        <v>788.09999999999991</v>
      </c>
      <c r="K110" s="91">
        <f t="shared" si="76"/>
        <v>161.05999999999995</v>
      </c>
      <c r="L110" s="7" t="str">
        <f>IF($E$128=8,$C$126,IF($E$128=6,$C$125,IF($E$128=4,$C$124,"-")))</f>
        <v>A</v>
      </c>
      <c r="M110" s="27">
        <f t="shared" si="77"/>
        <v>1</v>
      </c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</row>
    <row r="111" spans="1:20" x14ac:dyDescent="0.35">
      <c r="A111" s="6">
        <f t="shared" si="72"/>
        <v>4</v>
      </c>
      <c r="B111" s="6">
        <f t="shared" si="72"/>
        <v>651201128</v>
      </c>
      <c r="C111" s="78" t="str">
        <f t="shared" si="72"/>
        <v>นางสาวเดือนเพ็ญ ไชยโสดา</v>
      </c>
      <c r="D111" s="3">
        <f t="shared" si="73"/>
        <v>90.85</v>
      </c>
      <c r="E111" s="3">
        <f t="shared" si="73"/>
        <v>644.23</v>
      </c>
      <c r="F111" s="7" t="str">
        <f t="shared" si="74"/>
        <v>A</v>
      </c>
      <c r="G111" s="7" t="str">
        <f t="shared" si="75"/>
        <v>-</v>
      </c>
      <c r="I111" s="88">
        <f>IF(OR($E$128=2,$E$128=4,$E$128=6,$E$128=8),$E$124,"-")</f>
        <v>465.97</v>
      </c>
      <c r="J111" s="61">
        <f>IF(OR($E$128=2,$E$128=4,$E$128=6,$E$128=8),$E$124+E129,"-")</f>
        <v>627.03</v>
      </c>
      <c r="K111" s="91">
        <f t="shared" si="76"/>
        <v>161.05999999999995</v>
      </c>
      <c r="L111" s="7" t="str">
        <f>IF($E$128=8,$C$127,IF($E$128=6,$C$126,IF($E$128=4,$C$125,IF($E$128=2,$C$124,"-"))))</f>
        <v>B+</v>
      </c>
      <c r="M111" s="27">
        <f t="shared" si="77"/>
        <v>4</v>
      </c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</row>
    <row r="112" spans="1:20" x14ac:dyDescent="0.35">
      <c r="A112" s="6">
        <f t="shared" si="72"/>
        <v>5</v>
      </c>
      <c r="B112" s="6">
        <f t="shared" si="72"/>
        <v>651201129</v>
      </c>
      <c r="C112" s="78" t="str">
        <f t="shared" si="72"/>
        <v>นางสาวทิวาพร แคนำ้</v>
      </c>
      <c r="D112" s="3">
        <f t="shared" si="73"/>
        <v>77.150000000000006</v>
      </c>
      <c r="E112" s="3">
        <f t="shared" si="73"/>
        <v>432.7</v>
      </c>
      <c r="F112" s="7" t="str">
        <f t="shared" si="74"/>
        <v>B</v>
      </c>
      <c r="G112" s="7" t="str">
        <f t="shared" si="75"/>
        <v>-</v>
      </c>
      <c r="I112" s="47">
        <f>IF(OR($E$128=2,$E$128=4,$E$128=6,$E$128=8),$J$112-$E$129,"-")</f>
        <v>304.90000000000003</v>
      </c>
      <c r="J112" s="61">
        <f>IF(OR($E$128=2,$E$128=4,$E$128=6,$E$128=8),$E$124-0.01,"-")</f>
        <v>465.96000000000004</v>
      </c>
      <c r="K112" s="91">
        <f t="shared" si="76"/>
        <v>161.06</v>
      </c>
      <c r="L112" s="7" t="str">
        <f>IF($E$128=8,$C$128,IF($E$128=6,$C$127,IF($E$128=4,$C$126,IF($E$128=2,$C$125,"-"))))</f>
        <v>B</v>
      </c>
      <c r="M112" s="27">
        <f t="shared" si="77"/>
        <v>3</v>
      </c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</row>
    <row r="113" spans="1:20" x14ac:dyDescent="0.35">
      <c r="A113" s="6">
        <f t="shared" si="72"/>
        <v>6</v>
      </c>
      <c r="B113" s="6">
        <f t="shared" si="72"/>
        <v>651201130</v>
      </c>
      <c r="C113" s="78" t="str">
        <f t="shared" si="72"/>
        <v>นางสาวธนิตา ธาตุแสง</v>
      </c>
      <c r="D113" s="3">
        <f t="shared" si="73"/>
        <v>88.08</v>
      </c>
      <c r="E113" s="3">
        <f t="shared" si="73"/>
        <v>606.15</v>
      </c>
      <c r="F113" s="7" t="str">
        <f t="shared" si="74"/>
        <v>B+</v>
      </c>
      <c r="G113" s="7" t="str">
        <f t="shared" si="75"/>
        <v>-</v>
      </c>
      <c r="I113" s="47">
        <f>IF(OR($E$128=4,$E$128=6,$E$128=8),$J$113-$E$129,"-")</f>
        <v>143.83000000000004</v>
      </c>
      <c r="J113" s="47">
        <f>IF(OR($E$128=8,$E$128=6,$E$128=4),$I$112-0.01,"-")</f>
        <v>304.89000000000004</v>
      </c>
      <c r="K113" s="91">
        <f t="shared" si="76"/>
        <v>161.06</v>
      </c>
      <c r="L113" s="7" t="str">
        <f>IF($E$128=8,$C$129,IF($E$128=6,$C$128,IF($E$128=4,$C$127,"-")))</f>
        <v>C+</v>
      </c>
      <c r="M113" s="27">
        <f t="shared" si="77"/>
        <v>0</v>
      </c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</row>
    <row r="114" spans="1:20" ht="22" thickBot="1" x14ac:dyDescent="0.4">
      <c r="A114" s="6">
        <f t="shared" si="72"/>
        <v>7</v>
      </c>
      <c r="B114" s="6">
        <f t="shared" si="72"/>
        <v>651201131</v>
      </c>
      <c r="C114" s="78" t="str">
        <f t="shared" si="72"/>
        <v>นางสาวธัญญารัตน์ แสนศรี</v>
      </c>
      <c r="D114" s="3">
        <f t="shared" si="73"/>
        <v>78.55</v>
      </c>
      <c r="E114" s="3">
        <f t="shared" si="73"/>
        <v>454.16</v>
      </c>
      <c r="F114" s="7" t="str">
        <f t="shared" si="74"/>
        <v>B</v>
      </c>
      <c r="G114" s="7" t="str">
        <f t="shared" si="75"/>
        <v>-</v>
      </c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</row>
    <row r="115" spans="1:20" ht="22" thickBot="1" x14ac:dyDescent="0.4">
      <c r="A115" s="6">
        <f t="shared" si="72"/>
        <v>8</v>
      </c>
      <c r="B115" s="6">
        <f t="shared" si="72"/>
        <v>651201132</v>
      </c>
      <c r="C115" s="78" t="str">
        <f t="shared" si="72"/>
        <v>นางสาวธันยา บุญเกิด</v>
      </c>
      <c r="D115" s="3">
        <f t="shared" si="73"/>
        <v>86.83</v>
      </c>
      <c r="E115" s="3">
        <f t="shared" si="73"/>
        <v>578.1</v>
      </c>
      <c r="F115" s="7" t="str">
        <f t="shared" si="74"/>
        <v>B+</v>
      </c>
      <c r="G115" s="7" t="str">
        <f t="shared" si="75"/>
        <v>-</v>
      </c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O115" s="259" t="s">
        <v>1</v>
      </c>
      <c r="P115" s="259"/>
      <c r="Q115" s="259"/>
      <c r="R115" s="259"/>
      <c r="S115" s="259"/>
      <c r="T115" s="94">
        <f>SUM(T108:T114)</f>
        <v>0</v>
      </c>
    </row>
    <row r="116" spans="1:20" ht="22" thickBot="1" x14ac:dyDescent="0.4">
      <c r="A116" s="6">
        <f t="shared" si="72"/>
        <v>9</v>
      </c>
      <c r="B116" s="6">
        <f t="shared" si="72"/>
        <v>0</v>
      </c>
      <c r="C116" s="78">
        <f t="shared" si="72"/>
        <v>0</v>
      </c>
      <c r="D116" s="3">
        <f t="shared" si="73"/>
        <v>0</v>
      </c>
      <c r="E116" s="3">
        <f t="shared" si="73"/>
        <v>0</v>
      </c>
      <c r="F116" s="7" t="str">
        <f t="shared" si="74"/>
        <v>I/E</v>
      </c>
      <c r="G116" s="7" t="str">
        <f t="shared" si="75"/>
        <v>-</v>
      </c>
      <c r="I116" s="218" t="s">
        <v>1</v>
      </c>
      <c r="J116" s="219"/>
      <c r="K116" s="219"/>
      <c r="L116" s="220"/>
      <c r="M116" s="94">
        <f>SUM(M108:M115)</f>
        <v>8</v>
      </c>
    </row>
    <row r="117" spans="1:20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</row>
    <row r="118" spans="1:20" x14ac:dyDescent="0.35">
      <c r="C118" s="79"/>
      <c r="D118" s="9"/>
      <c r="E118" s="9"/>
      <c r="F118" s="42"/>
      <c r="G118" s="42"/>
    </row>
    <row r="119" spans="1:20" x14ac:dyDescent="0.35">
      <c r="C119" s="79"/>
      <c r="D119" s="9"/>
      <c r="E119" s="9"/>
      <c r="F119" s="42"/>
      <c r="G119" s="42"/>
    </row>
    <row r="120" spans="1:20" x14ac:dyDescent="0.35">
      <c r="C120" s="79"/>
      <c r="D120" s="9"/>
      <c r="E120" s="9"/>
      <c r="F120" s="42"/>
      <c r="G120" s="42"/>
    </row>
    <row r="121" spans="1:20" x14ac:dyDescent="0.35">
      <c r="C121" s="79"/>
      <c r="D121" s="9"/>
      <c r="E121" s="9"/>
      <c r="F121" s="42"/>
      <c r="G121" s="42"/>
    </row>
    <row r="122" spans="1:20" x14ac:dyDescent="0.35">
      <c r="C122" s="79"/>
      <c r="D122" s="9"/>
      <c r="E122" s="9"/>
      <c r="F122" s="42"/>
      <c r="G122" s="42"/>
    </row>
    <row r="124" spans="1:20" x14ac:dyDescent="0.35"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465.97</v>
      </c>
    </row>
    <row r="125" spans="1:20" x14ac:dyDescent="0.35"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644.23</v>
      </c>
      <c r="O125" s="1" t="s">
        <v>154</v>
      </c>
    </row>
    <row r="126" spans="1:20" x14ac:dyDescent="0.35"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0</v>
      </c>
      <c r="O126" s="1">
        <v>1</v>
      </c>
      <c r="P126" s="1" t="s">
        <v>137</v>
      </c>
    </row>
    <row r="127" spans="1:20" x14ac:dyDescent="0.35"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644.23</v>
      </c>
      <c r="O127" s="1">
        <v>2</v>
      </c>
      <c r="P127" s="1" t="s">
        <v>155</v>
      </c>
    </row>
    <row r="128" spans="1:20" x14ac:dyDescent="0.35"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O128" s="1">
        <v>3</v>
      </c>
      <c r="P128" s="1" t="s">
        <v>156</v>
      </c>
    </row>
    <row r="129" spans="1:19" x14ac:dyDescent="0.35"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161.06</v>
      </c>
      <c r="O129" s="202"/>
      <c r="P129" s="202"/>
      <c r="Q129" s="202"/>
      <c r="R129" s="202"/>
      <c r="S129" s="202"/>
    </row>
    <row r="130" spans="1:19" x14ac:dyDescent="0.35"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O130" s="202"/>
      <c r="P130" s="202"/>
      <c r="Q130" s="202"/>
      <c r="R130" s="202"/>
      <c r="S130" s="202"/>
    </row>
    <row r="131" spans="1:19" x14ac:dyDescent="0.35">
      <c r="B131" s="6">
        <f>$B$124-3.5</f>
        <v>0.5</v>
      </c>
      <c r="C131" s="6" t="str">
        <f t="shared" si="80"/>
        <v>E</v>
      </c>
      <c r="O131" s="221"/>
      <c r="P131" s="221"/>
      <c r="Q131" s="221"/>
      <c r="R131" s="221"/>
      <c r="S131" s="221"/>
    </row>
    <row r="132" spans="1:19" x14ac:dyDescent="0.35">
      <c r="B132" s="6">
        <f>$B$124-4</f>
        <v>0</v>
      </c>
      <c r="C132" s="6" t="str">
        <f>IF(B132=4,"A",IF(B132=3.5,"B+",IF(B132=3,"B",IF(B132=2.5,"C+",IF(B132=2,"C",IF(B132=1.5,"D+",IF(B132=1,"D","E")))))))</f>
        <v>E</v>
      </c>
    </row>
    <row r="136" spans="1:19" x14ac:dyDescent="0.35">
      <c r="C136" s="256" t="s">
        <v>188</v>
      </c>
      <c r="D136" s="256"/>
      <c r="E136" s="256"/>
      <c r="G136" s="1">
        <v>1</v>
      </c>
    </row>
    <row r="137" spans="1:19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</row>
    <row r="138" spans="1:19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</row>
    <row r="139" spans="1:19" x14ac:dyDescent="0.35">
      <c r="A139" s="6">
        <f>A8</f>
        <v>1</v>
      </c>
      <c r="B139" s="6">
        <f t="shared" ref="B139:C139" si="81">B8</f>
        <v>651201125</v>
      </c>
      <c r="C139" s="78" t="str">
        <f t="shared" si="81"/>
        <v>นางสาวณัฐตรียา นาใจเย็น</v>
      </c>
      <c r="D139" s="3">
        <f>D93</f>
        <v>78.540000000000006</v>
      </c>
      <c r="E139" s="3">
        <f>E93</f>
        <v>446.92</v>
      </c>
      <c r="F139" s="204" t="str">
        <f>IF($G$136=1,F93,IF($G$136=2,F108,G108))</f>
        <v>B</v>
      </c>
      <c r="G139" s="204"/>
    </row>
    <row r="140" spans="1:19" x14ac:dyDescent="0.35">
      <c r="A140" s="6">
        <f t="shared" ref="A140:C148" si="82">A9</f>
        <v>2</v>
      </c>
      <c r="B140" s="6">
        <f t="shared" si="82"/>
        <v>651201126</v>
      </c>
      <c r="C140" s="78" t="str">
        <f t="shared" si="82"/>
        <v>นางสาวณัฐธิดา สอนศิริ</v>
      </c>
      <c r="D140" s="3">
        <f t="shared" ref="D140:E148" si="83">D94</f>
        <v>82.13</v>
      </c>
      <c r="E140" s="3">
        <f t="shared" si="83"/>
        <v>508.83</v>
      </c>
      <c r="F140" s="204" t="str">
        <f t="shared" ref="F140:F148" si="84">IF($G$136=1,F94,IF($G$136=2,F109,G109))</f>
        <v>B+</v>
      </c>
      <c r="G140" s="204"/>
    </row>
    <row r="141" spans="1:19" x14ac:dyDescent="0.35">
      <c r="A141" s="6">
        <f t="shared" si="82"/>
        <v>3</v>
      </c>
      <c r="B141" s="6">
        <f t="shared" si="82"/>
        <v>651201127</v>
      </c>
      <c r="C141" s="78" t="str">
        <f t="shared" si="82"/>
        <v>นางสาวดารภา สีดี</v>
      </c>
      <c r="D141" s="3">
        <f t="shared" si="83"/>
        <v>83.11</v>
      </c>
      <c r="E141" s="3">
        <f t="shared" si="83"/>
        <v>522.66</v>
      </c>
      <c r="F141" s="204" t="str">
        <f t="shared" si="84"/>
        <v>B+</v>
      </c>
      <c r="G141" s="204"/>
    </row>
    <row r="142" spans="1:19" x14ac:dyDescent="0.35">
      <c r="A142" s="6">
        <f t="shared" si="82"/>
        <v>4</v>
      </c>
      <c r="B142" s="6">
        <f t="shared" si="82"/>
        <v>651201128</v>
      </c>
      <c r="C142" s="78" t="str">
        <f t="shared" si="82"/>
        <v>นางสาวเดือนเพ็ญ ไชยโสดา</v>
      </c>
      <c r="D142" s="3">
        <f t="shared" si="83"/>
        <v>90.85</v>
      </c>
      <c r="E142" s="3">
        <f t="shared" si="83"/>
        <v>644.23</v>
      </c>
      <c r="F142" s="204" t="str">
        <f t="shared" si="84"/>
        <v>A</v>
      </c>
      <c r="G142" s="204"/>
    </row>
    <row r="143" spans="1:19" x14ac:dyDescent="0.35">
      <c r="A143" s="6">
        <f t="shared" si="82"/>
        <v>5</v>
      </c>
      <c r="B143" s="6">
        <f t="shared" si="82"/>
        <v>651201129</v>
      </c>
      <c r="C143" s="78" t="str">
        <f t="shared" si="82"/>
        <v>นางสาวทิวาพร แคนำ้</v>
      </c>
      <c r="D143" s="3">
        <f t="shared" si="83"/>
        <v>77.150000000000006</v>
      </c>
      <c r="E143" s="3">
        <f t="shared" si="83"/>
        <v>432.7</v>
      </c>
      <c r="F143" s="204" t="str">
        <f t="shared" si="84"/>
        <v>B</v>
      </c>
      <c r="G143" s="204"/>
    </row>
    <row r="144" spans="1:19" x14ac:dyDescent="0.35">
      <c r="A144" s="6">
        <f t="shared" si="82"/>
        <v>6</v>
      </c>
      <c r="B144" s="6">
        <f t="shared" si="82"/>
        <v>651201130</v>
      </c>
      <c r="C144" s="78" t="str">
        <f t="shared" si="82"/>
        <v>นางสาวธนิตา ธาตุแสง</v>
      </c>
      <c r="D144" s="3">
        <f t="shared" si="83"/>
        <v>88.08</v>
      </c>
      <c r="E144" s="3">
        <f t="shared" si="83"/>
        <v>606.15</v>
      </c>
      <c r="F144" s="204" t="str">
        <f t="shared" si="84"/>
        <v>A</v>
      </c>
      <c r="G144" s="204"/>
    </row>
    <row r="145" spans="1:7" x14ac:dyDescent="0.35">
      <c r="A145" s="6">
        <f t="shared" si="82"/>
        <v>7</v>
      </c>
      <c r="B145" s="6">
        <f t="shared" si="82"/>
        <v>651201131</v>
      </c>
      <c r="C145" s="78" t="str">
        <f t="shared" si="82"/>
        <v>นางสาวธัญญารัตน์ แสนศรี</v>
      </c>
      <c r="D145" s="3">
        <f t="shared" si="83"/>
        <v>78.55</v>
      </c>
      <c r="E145" s="3">
        <f t="shared" si="83"/>
        <v>454.16</v>
      </c>
      <c r="F145" s="204" t="str">
        <f t="shared" si="84"/>
        <v>B</v>
      </c>
      <c r="G145" s="204"/>
    </row>
    <row r="146" spans="1:7" x14ac:dyDescent="0.35">
      <c r="A146" s="6">
        <f t="shared" si="82"/>
        <v>8</v>
      </c>
      <c r="B146" s="6">
        <f t="shared" si="82"/>
        <v>651201132</v>
      </c>
      <c r="C146" s="78" t="str">
        <f t="shared" si="82"/>
        <v>นางสาวธันยา บุญเกิด</v>
      </c>
      <c r="D146" s="3">
        <f t="shared" si="83"/>
        <v>86.83</v>
      </c>
      <c r="E146" s="3">
        <f t="shared" si="83"/>
        <v>578.1</v>
      </c>
      <c r="F146" s="204" t="str">
        <f t="shared" si="84"/>
        <v>A</v>
      </c>
      <c r="G146" s="204"/>
    </row>
    <row r="147" spans="1:7" x14ac:dyDescent="0.35">
      <c r="A147" s="6">
        <f t="shared" si="82"/>
        <v>9</v>
      </c>
      <c r="B147" s="6">
        <f t="shared" si="82"/>
        <v>0</v>
      </c>
      <c r="C147" s="78">
        <f t="shared" si="82"/>
        <v>0</v>
      </c>
      <c r="D147" s="3">
        <f t="shared" si="83"/>
        <v>0</v>
      </c>
      <c r="E147" s="3">
        <f t="shared" si="83"/>
        <v>0</v>
      </c>
      <c r="F147" s="204" t="str">
        <f t="shared" si="84"/>
        <v>-</v>
      </c>
      <c r="G147" s="204"/>
    </row>
    <row r="148" spans="1:7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</row>
  </sheetData>
  <sheetProtection selectLockedCells="1"/>
  <protectedRanges>
    <protectedRange sqref="A8:D17" name="ช่วง1"/>
  </protectedRanges>
  <mergeCells count="100"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139:G139"/>
    <mergeCell ref="O115:S115"/>
    <mergeCell ref="I116:L116"/>
    <mergeCell ref="O129:S129"/>
    <mergeCell ref="O130:S130"/>
    <mergeCell ref="O131:S131"/>
    <mergeCell ref="A137:A138"/>
    <mergeCell ref="B137:B138"/>
    <mergeCell ref="C137:C138"/>
    <mergeCell ref="D137:G137"/>
    <mergeCell ref="F138:G138"/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</mergeCells>
  <pageMargins left="0.70866141732283472" right="0.70866141732283472" top="0.31496062992125984" bottom="0.19685039370078741" header="0.31496062992125984" footer="0.19685039370078741"/>
  <pageSetup paperSize="9" scale="66" orientation="landscape" verticalDpi="300" r:id="rId1"/>
  <rowBreaks count="3" manualBreakCount="3">
    <brk id="36" max="16383" man="1"/>
    <brk id="70" max="20" man="1"/>
    <brk id="8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7</xdr:col>
                    <xdr:colOff>25400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U148"/>
  <sheetViews>
    <sheetView view="pageBreakPreview" zoomScale="73" zoomScaleSheetLayoutView="80" workbookViewId="0">
      <selection sqref="A1:U3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9" style="1" customWidth="1"/>
    <col min="5" max="5" width="6.5" style="1" customWidth="1"/>
    <col min="6" max="6" width="8.83203125" style="1" customWidth="1"/>
    <col min="7" max="7" width="7.6640625" style="1" customWidth="1"/>
    <col min="8" max="8" width="9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7.1640625" style="1" customWidth="1"/>
    <col min="17" max="18" width="7.6640625" style="1" customWidth="1"/>
    <col min="19" max="19" width="6.6640625" style="1" customWidth="1"/>
    <col min="20" max="16384" width="9" style="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x14ac:dyDescent="0.35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213</v>
      </c>
      <c r="Q5" s="248"/>
      <c r="R5" s="248"/>
      <c r="S5" s="248" t="s">
        <v>214</v>
      </c>
      <c r="T5" s="248"/>
      <c r="U5" s="248"/>
    </row>
    <row r="6" spans="1:21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84">
        <v>651201133</v>
      </c>
      <c r="C8" s="284" t="s">
        <v>249</v>
      </c>
      <c r="D8" s="69">
        <v>150</v>
      </c>
      <c r="E8" s="8">
        <f>IF(D8="-","-",IF(D8=0,0,(D8*$E$7)/$D$7))</f>
        <v>51.428571428571431</v>
      </c>
      <c r="F8" s="3">
        <f>IF(D8="-","-",IF(D8=0,0,IF($D$19=0,50,(50+(10*(STANDARDIZE(D8,$D$18,$D$19)))))*$F$7))</f>
        <v>263.7715581345264</v>
      </c>
      <c r="G8" s="69">
        <v>55</v>
      </c>
      <c r="H8" s="8">
        <f>IF(G8="-","-",IF(G8=0,0,(G8*$H$7)/$G$7))</f>
        <v>7.333333333333333</v>
      </c>
      <c r="I8" s="3">
        <f>IF(G8="-","-",IF(G8=0,0,IF($G$19=0,50,(50+(10*(STANDARDIZE(G8,$G$18,$G$19)))))*$I$7))</f>
        <v>34.695522893656012</v>
      </c>
      <c r="J8" s="69">
        <v>37</v>
      </c>
      <c r="K8" s="8">
        <f>IF(J8="-","-",IF(J8=0,0,(J8*$K$7)/$J$7))</f>
        <v>7.4</v>
      </c>
      <c r="L8" s="3">
        <f>IF(J8="-","-",IF(J8=0,0,IF(J19=0,50,(50+(10*(STANDARDIZE(J8,$J$18,$J$19)))))*$L$7))</f>
        <v>31.09783962964374</v>
      </c>
      <c r="M8" s="285">
        <v>17</v>
      </c>
      <c r="N8" s="8">
        <f>IF(M8="-","-",IF(M8=0,0,(M8*$N$7)/$M$7))</f>
        <v>2.8333333333333335</v>
      </c>
      <c r="O8" s="3">
        <f>IF(M8="-","-",IF(M8=0,0,IF($M$19=0,50,(50+(10*(STANDARDIZE(M8,$M$18,$M$19)))))*$O$7))</f>
        <v>20.769429438866752</v>
      </c>
      <c r="P8" s="69">
        <v>75</v>
      </c>
      <c r="Q8" s="8">
        <f>IF(P8="-","-",IF(P8=0,0,(P8*$Q$7)/$P$7))</f>
        <v>8.3333333333333339</v>
      </c>
      <c r="R8" s="3">
        <f>IF(P8="-","-",IF(P8=0,0,IF($P$19=0,50,(50+(10*(STANDARDIZE(P8,$P$18,$P$19)))))*$R$7))</f>
        <v>53.535533905932738</v>
      </c>
      <c r="S8">
        <v>8</v>
      </c>
      <c r="T8" s="8">
        <f>IF(S8="-","-",IF(S8=0,0,(S8*$T$7)/$S$7))</f>
        <v>2</v>
      </c>
      <c r="U8" s="3">
        <f>IF(S8="-","-",IF(S8=0,0,IF($S$19=0,50,(50+(10*(STANDARDIZE(S8,$S$18,$S$19)))))*$U$7))</f>
        <v>39.00990406825504</v>
      </c>
    </row>
    <row r="9" spans="1:21" ht="27" x14ac:dyDescent="0.45">
      <c r="A9" s="95">
        <v>2</v>
      </c>
      <c r="B9" s="284">
        <v>651201134</v>
      </c>
      <c r="C9" s="284" t="s">
        <v>250</v>
      </c>
      <c r="D9" s="69">
        <v>159</v>
      </c>
      <c r="E9" s="8">
        <f t="shared" ref="E9:E17" si="0">IF(D9="-","-",IF(D9=0,0,(D9*$E$7)/$D$7))</f>
        <v>54.514285714285712</v>
      </c>
      <c r="F9" s="3">
        <f t="shared" ref="F9:F16" si="1">IF(D9="-","-",IF(D9=0,0,IF($D$19=0,50,(50+(10*(STANDARDIZE(D9,$D$18,$D$19)))))*$F$7))</f>
        <v>394.19394885023132</v>
      </c>
      <c r="G9" s="69">
        <v>65</v>
      </c>
      <c r="H9" s="8">
        <f t="shared" ref="H9:H17" si="2">IF(G9="-","-",IF(G9=0,0,(G9*$H$7)/$G$7))</f>
        <v>8.6666666666666661</v>
      </c>
      <c r="I9" s="3">
        <f t="shared" ref="I9:I17" si="3">IF(G9="-","-",IF(G9=0,0,IF($G$19=0,50,(50+(10*(STANDARDIZE(G9,$G$18,$G$19)))))*$I$7))</f>
        <v>54.443235288938574</v>
      </c>
      <c r="J9" s="69">
        <v>42</v>
      </c>
      <c r="K9" s="8">
        <f t="shared" ref="K9:K17" si="4">IF(J9="-","-",IF(J9=0,0,(J9*$K$7)/$J$7))</f>
        <v>8.4</v>
      </c>
      <c r="L9" s="3">
        <f t="shared" ref="L9:L17" si="5">IF(J9="-","-",IF(J9=0,0,IF(J20=0,50,(50+(10*(STANDARDIZE(J9,$J$18,$J$19)))))*$L$7))</f>
        <v>50</v>
      </c>
      <c r="M9" s="285">
        <v>17</v>
      </c>
      <c r="N9" s="8">
        <f t="shared" ref="N9:N17" si="6">IF(M9="-","-",IF(M9=0,0,(M9*$N$7)/$M$7))</f>
        <v>2.8333333333333335</v>
      </c>
      <c r="O9" s="3">
        <f t="shared" ref="O9:O17" si="7">IF(M9="-","-",IF(M9=0,0,IF($M$19=0,50,(50+(10*(STANDARDIZE(M9,$M$18,$M$19)))))*$O$7))</f>
        <v>20.769429438866752</v>
      </c>
      <c r="P9" s="69">
        <v>75</v>
      </c>
      <c r="Q9" s="8">
        <f t="shared" ref="Q9:Q17" si="8">IF(P9="-","-",IF(P9=0,0,(P9*$Q$7)/$P$7))</f>
        <v>8.3333333333333339</v>
      </c>
      <c r="R9" s="3">
        <f t="shared" ref="R9:R17" si="9">IF(P9="-","-",IF(P9=0,0,IF($P$19=0,50,(50+(10*(STANDARDIZE(P9,$P$18,$P$19)))))*$R$7))</f>
        <v>53.535533905932738</v>
      </c>
      <c r="S9">
        <v>18</v>
      </c>
      <c r="T9" s="8">
        <f t="shared" ref="T9:T17" si="10">IF(S9="-","-",IF(S9=0,0,(S9*$T$7)/$S$7))</f>
        <v>4.5</v>
      </c>
      <c r="U9" s="3">
        <f t="shared" ref="U9:U17" si="11">IF(S9="-","-",IF(S9=0,0,IF($S$19=0,50,(50+(10*(STANDARDIZE(S9,$S$18,$S$19)))))*$U$7))</f>
        <v>68.316826552908253</v>
      </c>
    </row>
    <row r="10" spans="1:21" ht="27" x14ac:dyDescent="0.45">
      <c r="A10" s="95">
        <v>3</v>
      </c>
      <c r="B10" s="284">
        <v>651201135</v>
      </c>
      <c r="C10" s="284" t="s">
        <v>251</v>
      </c>
      <c r="D10" s="69">
        <v>151</v>
      </c>
      <c r="E10" s="8">
        <f t="shared" si="0"/>
        <v>51.771428571428572</v>
      </c>
      <c r="F10" s="3">
        <f t="shared" si="1"/>
        <v>278.26293488071582</v>
      </c>
      <c r="G10" s="69">
        <v>60</v>
      </c>
      <c r="H10" s="8">
        <f t="shared" si="2"/>
        <v>8</v>
      </c>
      <c r="I10" s="3">
        <f t="shared" si="3"/>
        <v>44.569379091297293</v>
      </c>
      <c r="J10" s="69">
        <v>39</v>
      </c>
      <c r="K10" s="8">
        <f t="shared" si="4"/>
        <v>7.8</v>
      </c>
      <c r="L10" s="3">
        <f t="shared" si="5"/>
        <v>50</v>
      </c>
      <c r="M10" s="285">
        <v>17</v>
      </c>
      <c r="N10" s="8">
        <f t="shared" si="6"/>
        <v>2.8333333333333335</v>
      </c>
      <c r="O10" s="3">
        <f t="shared" si="7"/>
        <v>20.769429438866752</v>
      </c>
      <c r="P10" s="69">
        <v>75</v>
      </c>
      <c r="Q10" s="8">
        <f t="shared" si="8"/>
        <v>8.3333333333333339</v>
      </c>
      <c r="R10" s="3">
        <f t="shared" si="9"/>
        <v>53.535533905932738</v>
      </c>
      <c r="S10">
        <v>12</v>
      </c>
      <c r="T10" s="8">
        <f t="shared" si="10"/>
        <v>3</v>
      </c>
      <c r="U10" s="3">
        <f t="shared" si="11"/>
        <v>50.732673062116334</v>
      </c>
    </row>
    <row r="11" spans="1:21" ht="27" x14ac:dyDescent="0.45">
      <c r="A11" s="95">
        <v>4</v>
      </c>
      <c r="B11" s="284">
        <v>651201136</v>
      </c>
      <c r="C11" s="284" t="s">
        <v>252</v>
      </c>
      <c r="D11" s="69">
        <v>148</v>
      </c>
      <c r="E11" s="8">
        <f t="shared" si="0"/>
        <v>50.74285714285714</v>
      </c>
      <c r="F11" s="3">
        <f t="shared" si="1"/>
        <v>234.78880464214754</v>
      </c>
      <c r="G11" s="69">
        <v>65</v>
      </c>
      <c r="H11" s="8">
        <f t="shared" si="2"/>
        <v>8.6666666666666661</v>
      </c>
      <c r="I11" s="3">
        <f t="shared" si="3"/>
        <v>54.443235288938574</v>
      </c>
      <c r="J11" s="69">
        <v>40</v>
      </c>
      <c r="K11" s="8">
        <f t="shared" si="4"/>
        <v>8</v>
      </c>
      <c r="L11" s="3">
        <f t="shared" si="5"/>
        <v>47.299691375663393</v>
      </c>
      <c r="M11" s="285">
        <v>18</v>
      </c>
      <c r="N11" s="8">
        <f t="shared" si="6"/>
        <v>3</v>
      </c>
      <c r="O11" s="3">
        <f t="shared" si="7"/>
        <v>26.410190187044414</v>
      </c>
      <c r="P11" s="69">
        <v>75</v>
      </c>
      <c r="Q11" s="8">
        <f t="shared" si="8"/>
        <v>8.3333333333333339</v>
      </c>
      <c r="R11" s="3">
        <f t="shared" si="9"/>
        <v>53.535533905932738</v>
      </c>
      <c r="S11">
        <v>7</v>
      </c>
      <c r="T11" s="8">
        <f t="shared" si="10"/>
        <v>1.75</v>
      </c>
      <c r="U11" s="3">
        <f t="shared" si="11"/>
        <v>36.07921181978972</v>
      </c>
    </row>
    <row r="12" spans="1:21" ht="27" x14ac:dyDescent="0.45">
      <c r="A12" s="95">
        <v>5</v>
      </c>
      <c r="B12" s="284">
        <v>651201137</v>
      </c>
      <c r="C12" s="284" t="s">
        <v>253</v>
      </c>
      <c r="D12" s="69">
        <v>155</v>
      </c>
      <c r="E12" s="8">
        <f t="shared" si="0"/>
        <v>53.142857142857146</v>
      </c>
      <c r="F12" s="3">
        <f t="shared" si="1"/>
        <v>336.2284418654736</v>
      </c>
      <c r="G12" s="69">
        <v>67</v>
      </c>
      <c r="H12" s="8">
        <f t="shared" si="2"/>
        <v>8.9333333333333336</v>
      </c>
      <c r="I12" s="3">
        <f t="shared" si="3"/>
        <v>58.392777767995092</v>
      </c>
      <c r="J12" s="69">
        <v>42</v>
      </c>
      <c r="K12" s="8">
        <f t="shared" si="4"/>
        <v>8.4</v>
      </c>
      <c r="L12" s="3">
        <f t="shared" si="5"/>
        <v>50</v>
      </c>
      <c r="M12" s="285">
        <v>19</v>
      </c>
      <c r="N12" s="8">
        <f t="shared" si="6"/>
        <v>3.1666666666666665</v>
      </c>
      <c r="O12" s="3">
        <f t="shared" si="7"/>
        <v>32.050950935222076</v>
      </c>
      <c r="P12" s="69">
        <v>75</v>
      </c>
      <c r="Q12" s="8">
        <f t="shared" si="8"/>
        <v>8.3333333333333339</v>
      </c>
      <c r="R12" s="3">
        <f t="shared" si="9"/>
        <v>53.535533905932738</v>
      </c>
      <c r="S12">
        <v>11</v>
      </c>
      <c r="T12" s="8">
        <f t="shared" si="10"/>
        <v>2.75</v>
      </c>
      <c r="U12" s="3">
        <f t="shared" si="11"/>
        <v>47.801980813651006</v>
      </c>
    </row>
    <row r="13" spans="1:21" ht="27" x14ac:dyDescent="0.45">
      <c r="A13" s="95">
        <v>6</v>
      </c>
      <c r="B13" s="284">
        <v>651201138</v>
      </c>
      <c r="C13" s="284" t="s">
        <v>254</v>
      </c>
      <c r="D13" s="69">
        <v>155</v>
      </c>
      <c r="E13" s="8">
        <f t="shared" si="0"/>
        <v>53.142857142857146</v>
      </c>
      <c r="F13" s="3">
        <f t="shared" si="1"/>
        <v>336.2284418654736</v>
      </c>
      <c r="G13" s="69">
        <v>68</v>
      </c>
      <c r="H13" s="8">
        <f t="shared" si="2"/>
        <v>9.0666666666666664</v>
      </c>
      <c r="I13" s="3">
        <f t="shared" si="3"/>
        <v>60.367549007523351</v>
      </c>
      <c r="J13" s="69">
        <v>42</v>
      </c>
      <c r="K13" s="8">
        <f t="shared" si="4"/>
        <v>8.4</v>
      </c>
      <c r="L13" s="3">
        <f t="shared" si="5"/>
        <v>50</v>
      </c>
      <c r="M13" s="285">
        <v>19</v>
      </c>
      <c r="N13" s="8">
        <f t="shared" si="6"/>
        <v>3.1666666666666665</v>
      </c>
      <c r="O13" s="3">
        <f t="shared" si="7"/>
        <v>32.050950935222076</v>
      </c>
      <c r="P13" s="69">
        <v>75</v>
      </c>
      <c r="Q13" s="8">
        <f t="shared" si="8"/>
        <v>8.3333333333333339</v>
      </c>
      <c r="R13" s="3">
        <f t="shared" si="9"/>
        <v>53.535533905932738</v>
      </c>
      <c r="S13">
        <v>12</v>
      </c>
      <c r="T13" s="8">
        <f t="shared" si="10"/>
        <v>3</v>
      </c>
      <c r="U13" s="3">
        <f t="shared" si="11"/>
        <v>50.732673062116334</v>
      </c>
    </row>
    <row r="14" spans="1:21" ht="27" x14ac:dyDescent="0.45">
      <c r="A14" s="95">
        <v>7</v>
      </c>
      <c r="B14" s="284">
        <v>651201139</v>
      </c>
      <c r="C14" s="284" t="s">
        <v>255</v>
      </c>
      <c r="D14" s="69">
        <v>147</v>
      </c>
      <c r="E14" s="8">
        <f t="shared" si="0"/>
        <v>50.4</v>
      </c>
      <c r="F14" s="3">
        <f t="shared" si="1"/>
        <v>220.29742789595807</v>
      </c>
      <c r="G14" s="69">
        <v>56</v>
      </c>
      <c r="H14" s="8">
        <f t="shared" si="2"/>
        <v>7.4666666666666668</v>
      </c>
      <c r="I14" s="3">
        <f t="shared" si="3"/>
        <v>36.670294133184271</v>
      </c>
      <c r="J14" s="69">
        <v>40</v>
      </c>
      <c r="K14" s="8">
        <f t="shared" si="4"/>
        <v>8</v>
      </c>
      <c r="L14" s="3">
        <f t="shared" si="5"/>
        <v>50</v>
      </c>
      <c r="M14" s="285">
        <v>18</v>
      </c>
      <c r="N14" s="8">
        <f t="shared" si="6"/>
        <v>3</v>
      </c>
      <c r="O14" s="3">
        <f t="shared" si="7"/>
        <v>26.410190187044414</v>
      </c>
      <c r="P14" s="69">
        <v>70</v>
      </c>
      <c r="Q14" s="8">
        <f t="shared" si="8"/>
        <v>7.7777777777777777</v>
      </c>
      <c r="R14" s="3">
        <f t="shared" si="9"/>
        <v>25.251262658470836</v>
      </c>
      <c r="S14">
        <v>12</v>
      </c>
      <c r="T14" s="8">
        <f t="shared" si="10"/>
        <v>3</v>
      </c>
      <c r="U14" s="3">
        <f t="shared" si="11"/>
        <v>50.732673062116334</v>
      </c>
    </row>
    <row r="15" spans="1:21" ht="27" x14ac:dyDescent="0.45">
      <c r="A15" s="95">
        <v>8</v>
      </c>
      <c r="B15" s="284">
        <v>651201140</v>
      </c>
      <c r="C15" s="284" t="s">
        <v>256</v>
      </c>
      <c r="D15" s="69">
        <v>155</v>
      </c>
      <c r="E15" s="8">
        <f t="shared" si="0"/>
        <v>53.142857142857146</v>
      </c>
      <c r="F15" s="3">
        <f t="shared" si="1"/>
        <v>336.2284418654736</v>
      </c>
      <c r="G15" s="69">
        <v>66</v>
      </c>
      <c r="H15" s="8">
        <f t="shared" si="2"/>
        <v>8.8000000000000007</v>
      </c>
      <c r="I15" s="3">
        <f t="shared" si="3"/>
        <v>56.418006528466833</v>
      </c>
      <c r="J15" s="69">
        <v>42</v>
      </c>
      <c r="K15" s="8">
        <f t="shared" si="4"/>
        <v>8.4</v>
      </c>
      <c r="L15" s="3">
        <f t="shared" si="5"/>
        <v>50</v>
      </c>
      <c r="M15" s="285">
        <v>17</v>
      </c>
      <c r="N15" s="8">
        <f t="shared" si="6"/>
        <v>2.8333333333333335</v>
      </c>
      <c r="O15" s="3">
        <f t="shared" si="7"/>
        <v>20.769429438866752</v>
      </c>
      <c r="P15" s="69">
        <v>75</v>
      </c>
      <c r="Q15" s="8">
        <f t="shared" si="8"/>
        <v>8.3333333333333339</v>
      </c>
      <c r="R15" s="3">
        <f t="shared" si="9"/>
        <v>53.535533905932738</v>
      </c>
      <c r="S15">
        <v>14</v>
      </c>
      <c r="T15" s="8">
        <f t="shared" si="10"/>
        <v>3.5</v>
      </c>
      <c r="U15" s="3">
        <f t="shared" si="11"/>
        <v>56.594057559046973</v>
      </c>
    </row>
    <row r="16" spans="1: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18" customHeight="1" x14ac:dyDescent="0.35">
      <c r="C18" s="42" t="s">
        <v>13</v>
      </c>
      <c r="D18" s="9">
        <f>AVERAGE($D$8:$D$17)</f>
        <v>152.5</v>
      </c>
      <c r="E18" s="2"/>
      <c r="F18" s="2"/>
      <c r="G18" s="9">
        <f>AVERAGE($G$8:$G$17)</f>
        <v>62.75</v>
      </c>
      <c r="J18" s="9">
        <f>AVERAGE($J$8:$J$17)</f>
        <v>40.5</v>
      </c>
      <c r="M18" s="9">
        <f>AVERAGE($M$8:$M$17)</f>
        <v>17.75</v>
      </c>
      <c r="P18" s="9">
        <f>AVERAGE($P$8:$P$17)</f>
        <v>74.375</v>
      </c>
      <c r="S18" s="9">
        <f>AVERAGE($S$8:$S$17)</f>
        <v>11.75</v>
      </c>
    </row>
    <row r="19" spans="1:21" ht="18" customHeight="1" x14ac:dyDescent="0.35">
      <c r="C19" s="42" t="s">
        <v>14</v>
      </c>
      <c r="D19" s="9">
        <f>STDEV($D$8:$D$17)</f>
        <v>4.1403933560541253</v>
      </c>
      <c r="E19" s="2"/>
      <c r="F19" s="2"/>
      <c r="G19" s="9">
        <f>STDEV($G$8:$G$17)</f>
        <v>5.0638776785046007</v>
      </c>
      <c r="J19" s="9">
        <f>STDEV($J$8:$J$17)</f>
        <v>1.8516401995451028</v>
      </c>
      <c r="M19" s="9">
        <f>STDEV($M$8:$M$17)</f>
        <v>0.88640526042791834</v>
      </c>
      <c r="P19" s="9">
        <f>STDEV($P$8:$P$17)</f>
        <v>1.7677669529663689</v>
      </c>
      <c r="S19" s="9">
        <f>STDEV(S8:S17)</f>
        <v>3.4121631178560534</v>
      </c>
    </row>
    <row r="20" spans="1:21" ht="18" customHeight="1" x14ac:dyDescent="0.35"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18" customHeight="1" x14ac:dyDescent="0.35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x14ac:dyDescent="0.35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22" x14ac:dyDescent="0.35">
      <c r="A24" s="6">
        <v>1</v>
      </c>
      <c r="B24" s="38">
        <f>B8</f>
        <v>651201133</v>
      </c>
      <c r="C24" s="39" t="str">
        <f>C8</f>
        <v>นายธีรภัทร ทับทิมไสย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22" x14ac:dyDescent="0.35">
      <c r="A25" s="6">
        <v>2</v>
      </c>
      <c r="B25" s="38">
        <f t="shared" ref="B25:C33" si="12">B9</f>
        <v>651201134</v>
      </c>
      <c r="C25" s="39" t="str">
        <f t="shared" si="12"/>
        <v>นายนครินทร์ บุญสม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22" x14ac:dyDescent="0.35">
      <c r="A26" s="6">
        <v>3</v>
      </c>
      <c r="B26" s="38">
        <f t="shared" si="12"/>
        <v>651201135</v>
      </c>
      <c r="C26" s="39" t="str">
        <f t="shared" si="12"/>
        <v>นายนครินทร์ พ่วงกลาง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22" x14ac:dyDescent="0.35">
      <c r="A27" s="6">
        <v>4</v>
      </c>
      <c r="B27" s="38">
        <f t="shared" si="12"/>
        <v>651201136</v>
      </c>
      <c r="C27" s="39" t="str">
        <f t="shared" si="12"/>
        <v>นางสาวนภเกตน์ บำรุงเพชร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22" x14ac:dyDescent="0.35">
      <c r="A28" s="6">
        <v>5</v>
      </c>
      <c r="B28" s="38">
        <f t="shared" si="12"/>
        <v>651201137</v>
      </c>
      <c r="C28" s="39" t="str">
        <f t="shared" si="12"/>
        <v>นางสาวนภาพร ไพรเขียว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22" x14ac:dyDescent="0.35">
      <c r="A29" s="6">
        <v>6</v>
      </c>
      <c r="B29" s="38">
        <f t="shared" si="12"/>
        <v>651201138</v>
      </c>
      <c r="C29" s="39" t="str">
        <f t="shared" si="12"/>
        <v>นางสาวนลินนิภา นุทธนู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22" x14ac:dyDescent="0.35">
      <c r="A30" s="6">
        <v>7</v>
      </c>
      <c r="B30" s="38">
        <f t="shared" si="12"/>
        <v>651201139</v>
      </c>
      <c r="C30" s="39" t="str">
        <f t="shared" si="12"/>
        <v>นายนัทนรินทร์ เถียนสูงเนิน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22" x14ac:dyDescent="0.35">
      <c r="A31" s="6">
        <v>8</v>
      </c>
      <c r="B31" s="38">
        <f t="shared" si="12"/>
        <v>651201140</v>
      </c>
      <c r="C31" s="39" t="str">
        <f t="shared" si="12"/>
        <v>นายนนั ทวัฒน์ สุพะกะ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x14ac:dyDescent="0.35">
      <c r="A32" s="6">
        <v>9</v>
      </c>
      <c r="B32" s="38">
        <f t="shared" si="12"/>
        <v>0</v>
      </c>
      <c r="C32" s="39">
        <f t="shared" si="12"/>
        <v>0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x14ac:dyDescent="0.35">
      <c r="C34" s="42" t="s">
        <v>13</v>
      </c>
      <c r="D34" s="9" t="e">
        <f>AVERAGE($D$24:$D$33)</f>
        <v>#DIV/0!</v>
      </c>
      <c r="G34" s="9" t="e">
        <f>AVERAGE($G$24:$G$33)</f>
        <v>#DIV/0!</v>
      </c>
      <c r="J34" s="9" t="e">
        <f>AVERAGE($J$24:$J$33)</f>
        <v>#DIV/0!</v>
      </c>
      <c r="M34" s="9" t="e">
        <f>AVERAGE($M$24:$M$33)</f>
        <v>#DIV/0!</v>
      </c>
      <c r="P34" s="9" t="e">
        <f>AVERAGE($P$24:$P$33)</f>
        <v>#DIV/0!</v>
      </c>
      <c r="S34" s="72" t="e">
        <f>AVERAGE($S$24:$S$33)</f>
        <v>#DIV/0!</v>
      </c>
    </row>
    <row r="35" spans="1:21" x14ac:dyDescent="0.35">
      <c r="C35" s="42" t="s">
        <v>14</v>
      </c>
      <c r="D35" s="9" t="e">
        <f>STDEV($D$24:$D$33)</f>
        <v>#DIV/0!</v>
      </c>
      <c r="F35" s="5"/>
      <c r="G35" s="9" t="e">
        <f>STDEV($G$24:$G$33)</f>
        <v>#DIV/0!</v>
      </c>
      <c r="J35" s="9" t="e">
        <f>STDEV($J$24:$J$33)</f>
        <v>#DIV/0!</v>
      </c>
      <c r="L35" s="5"/>
      <c r="M35" s="9" t="e">
        <f>STDEV($M$24:$M$33)</f>
        <v>#DIV/0!</v>
      </c>
      <c r="P35" s="9" t="e">
        <f>STDEV($P$24:$P$33)</f>
        <v>#DIV/0!</v>
      </c>
      <c r="S35" s="72" t="e">
        <f>STDEV($S$24:$S$33)</f>
        <v>#DIV/0!</v>
      </c>
    </row>
    <row r="36" spans="1:21" x14ac:dyDescent="0.35">
      <c r="C36" s="42"/>
      <c r="D36" s="9"/>
      <c r="F36" s="5"/>
      <c r="G36" s="9" t="s">
        <v>2</v>
      </c>
      <c r="J36" s="9"/>
      <c r="L36" s="5"/>
      <c r="M36" s="9"/>
      <c r="P36" s="1" t="s">
        <v>2</v>
      </c>
    </row>
    <row r="37" spans="1:21" x14ac:dyDescent="0.35"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</row>
    <row r="38" spans="1:21" x14ac:dyDescent="0.35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x14ac:dyDescent="0.35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22" x14ac:dyDescent="0.35">
      <c r="A41" s="6">
        <v>1</v>
      </c>
      <c r="B41" s="38">
        <f>B8</f>
        <v>651201133</v>
      </c>
      <c r="C41" s="39" t="str">
        <f>C8</f>
        <v>นายธีรภัทร ทับทิมไสย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22" x14ac:dyDescent="0.35">
      <c r="A42" s="6">
        <v>2</v>
      </c>
      <c r="B42" s="38">
        <f t="shared" ref="B42:C50" si="25">B9</f>
        <v>651201134</v>
      </c>
      <c r="C42" s="39" t="str">
        <f t="shared" si="25"/>
        <v>นายนครินทร์ บุญสม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22" x14ac:dyDescent="0.35">
      <c r="A43" s="6">
        <v>3</v>
      </c>
      <c r="B43" s="38">
        <f t="shared" si="25"/>
        <v>651201135</v>
      </c>
      <c r="C43" s="39" t="str">
        <f t="shared" si="25"/>
        <v>นายนครินทร์ พ่วงกลาง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22" x14ac:dyDescent="0.35">
      <c r="A44" s="6">
        <v>4</v>
      </c>
      <c r="B44" s="38">
        <f t="shared" si="25"/>
        <v>651201136</v>
      </c>
      <c r="C44" s="39" t="str">
        <f t="shared" si="25"/>
        <v>นางสาวนภเกตน์ บำรุงเพชร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22" x14ac:dyDescent="0.35">
      <c r="A45" s="6">
        <v>5</v>
      </c>
      <c r="B45" s="38">
        <f t="shared" si="25"/>
        <v>651201137</v>
      </c>
      <c r="C45" s="39" t="str">
        <f t="shared" si="25"/>
        <v>นางสาวนภาพร ไพรเขียว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22" x14ac:dyDescent="0.35">
      <c r="A46" s="6">
        <v>6</v>
      </c>
      <c r="B46" s="38">
        <f t="shared" si="25"/>
        <v>651201138</v>
      </c>
      <c r="C46" s="39" t="str">
        <f t="shared" si="25"/>
        <v>นางสาวนลินนิภา นุทธนู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22" x14ac:dyDescent="0.35">
      <c r="A47" s="6">
        <v>7</v>
      </c>
      <c r="B47" s="38">
        <f t="shared" si="25"/>
        <v>651201139</v>
      </c>
      <c r="C47" s="39" t="str">
        <f t="shared" si="25"/>
        <v>นายนัทนรินทร์ เถียนสูงเนิน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22" x14ac:dyDescent="0.35">
      <c r="A48" s="6">
        <v>8</v>
      </c>
      <c r="B48" s="38">
        <f t="shared" si="25"/>
        <v>651201140</v>
      </c>
      <c r="C48" s="39" t="str">
        <f t="shared" si="25"/>
        <v>นายนนั ทวัฒน์ สุพะกะ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x14ac:dyDescent="0.35">
      <c r="A49" s="6">
        <v>9</v>
      </c>
      <c r="B49" s="38">
        <f t="shared" si="25"/>
        <v>0</v>
      </c>
      <c r="C49" s="39">
        <f t="shared" si="25"/>
        <v>0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x14ac:dyDescent="0.35">
      <c r="C51" s="42" t="s">
        <v>13</v>
      </c>
      <c r="D51" s="9" t="e">
        <f>AVERAGE($D$41:$D$50)</f>
        <v>#DIV/0!</v>
      </c>
      <c r="G51" s="9" t="e">
        <f>AVERAGE($G$41:$G$50)</f>
        <v>#DIV/0!</v>
      </c>
      <c r="J51" s="9" t="e">
        <f>AVERAGE($J$41:$J$50)</f>
        <v>#DIV/0!</v>
      </c>
      <c r="M51" s="9" t="e">
        <f>AVERAGE($M$41:$M$50)</f>
        <v>#DIV/0!</v>
      </c>
      <c r="P51" s="9" t="e">
        <f>AVERAGE($P$41:$P$50)</f>
        <v>#DIV/0!</v>
      </c>
      <c r="S51" s="9" t="e">
        <f>AVERAGE($S$41:$S$50)</f>
        <v>#DIV/0!</v>
      </c>
    </row>
    <row r="52" spans="1:21" x14ac:dyDescent="0.35">
      <c r="C52" s="42" t="s">
        <v>14</v>
      </c>
      <c r="D52" s="9" t="e">
        <f>STDEV($D$41:$D$50)</f>
        <v>#DIV/0!</v>
      </c>
      <c r="F52" s="5"/>
      <c r="G52" s="9" t="e">
        <f>STDEV($G$41:$G$50)</f>
        <v>#DIV/0!</v>
      </c>
      <c r="J52" s="9" t="e">
        <f>STDEV($J$41:$J$50)</f>
        <v>#DIV/0!</v>
      </c>
      <c r="M52" s="9" t="e">
        <f>STDEV($M$41:$M$50)</f>
        <v>#DIV/0!</v>
      </c>
      <c r="O52" s="5"/>
      <c r="P52" s="9" t="e">
        <f>STDEV($P$41:$P$50)</f>
        <v>#DIV/0!</v>
      </c>
      <c r="R52" s="5"/>
      <c r="S52" s="9" t="e">
        <f>STDEV($S$41:$S$50)</f>
        <v>#DIV/0!</v>
      </c>
    </row>
    <row r="53" spans="1:21" x14ac:dyDescent="0.35">
      <c r="C53" s="42"/>
      <c r="D53" s="9"/>
      <c r="F53" s="5"/>
      <c r="G53" s="9"/>
      <c r="J53" s="9"/>
      <c r="L53" s="5"/>
      <c r="M53" s="9"/>
      <c r="P53" s="1" t="s">
        <v>2</v>
      </c>
    </row>
    <row r="54" spans="1:21" x14ac:dyDescent="0.35"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1:21" ht="18.75" customHeight="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18.75" customHeight="1" x14ac:dyDescent="0.35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22" x14ac:dyDescent="0.35">
      <c r="A58" s="6">
        <v>1</v>
      </c>
      <c r="B58" s="38">
        <f>B8</f>
        <v>651201133</v>
      </c>
      <c r="C58" s="73" t="str">
        <f>C8</f>
        <v>นายธีรภัทร ทับทิมไสย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22" x14ac:dyDescent="0.35">
      <c r="A59" s="6">
        <v>2</v>
      </c>
      <c r="B59" s="38">
        <f t="shared" ref="B59:C67" si="38">B9</f>
        <v>651201134</v>
      </c>
      <c r="C59" s="73" t="str">
        <f t="shared" si="38"/>
        <v>นายนครินทร์ บุญสม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22" x14ac:dyDescent="0.35">
      <c r="A60" s="6">
        <v>3</v>
      </c>
      <c r="B60" s="38">
        <f t="shared" si="38"/>
        <v>651201135</v>
      </c>
      <c r="C60" s="73" t="str">
        <f t="shared" si="38"/>
        <v>นายนครินทร์ พ่วงกลาง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22" x14ac:dyDescent="0.35">
      <c r="A61" s="6">
        <v>4</v>
      </c>
      <c r="B61" s="38">
        <f t="shared" si="38"/>
        <v>651201136</v>
      </c>
      <c r="C61" s="73" t="str">
        <f t="shared" si="38"/>
        <v>นางสาวนภเกตน์ บำรุงเพชร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22" x14ac:dyDescent="0.35">
      <c r="A62" s="6">
        <v>5</v>
      </c>
      <c r="B62" s="38">
        <f t="shared" si="38"/>
        <v>651201137</v>
      </c>
      <c r="C62" s="73" t="str">
        <f t="shared" si="38"/>
        <v>นางสาวนภาพร ไพรเขียว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22" x14ac:dyDescent="0.35">
      <c r="A63" s="6">
        <v>6</v>
      </c>
      <c r="B63" s="38">
        <f t="shared" si="38"/>
        <v>651201138</v>
      </c>
      <c r="C63" s="73" t="str">
        <f t="shared" si="38"/>
        <v>นางสาวนลินนิภา นุทธนู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22" x14ac:dyDescent="0.35">
      <c r="A64" s="6">
        <v>7</v>
      </c>
      <c r="B64" s="38">
        <f t="shared" si="38"/>
        <v>651201139</v>
      </c>
      <c r="C64" s="73" t="str">
        <f t="shared" si="38"/>
        <v>นายนัทนรินทร์ เถียนสูงเนิน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22" x14ac:dyDescent="0.35">
      <c r="A65" s="6">
        <v>8</v>
      </c>
      <c r="B65" s="38">
        <f t="shared" si="38"/>
        <v>651201140</v>
      </c>
      <c r="C65" s="73" t="str">
        <f t="shared" si="38"/>
        <v>นายนนั ทวัฒน์ สุพะกะ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x14ac:dyDescent="0.35">
      <c r="A66" s="6">
        <v>9</v>
      </c>
      <c r="B66" s="38">
        <f t="shared" si="38"/>
        <v>0</v>
      </c>
      <c r="C66" s="73">
        <f t="shared" si="38"/>
        <v>0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x14ac:dyDescent="0.35">
      <c r="C68" s="42" t="s">
        <v>13</v>
      </c>
      <c r="D68" s="9" t="e">
        <f>AVERAGE($D$58:$D$67)</f>
        <v>#DIV/0!</v>
      </c>
      <c r="G68" s="9" t="e">
        <f>AVERAGE($G$58:$G$67)</f>
        <v>#DIV/0!</v>
      </c>
      <c r="J68" s="9" t="e">
        <f>AVERAGE($J$58:$J$67)</f>
        <v>#DIV/0!</v>
      </c>
      <c r="M68" s="9" t="e">
        <f>AVERAGE($M$58:$M$67)</f>
        <v>#DIV/0!</v>
      </c>
      <c r="P68" s="9" t="e">
        <f>AVERAGE($P$58:$P$67)</f>
        <v>#DIV/0!</v>
      </c>
      <c r="S68" s="9" t="e">
        <f>AVERAGE($S$58:$S$67)</f>
        <v>#DIV/0!</v>
      </c>
    </row>
    <row r="69" spans="1:21" x14ac:dyDescent="0.35">
      <c r="C69" s="42" t="s">
        <v>14</v>
      </c>
      <c r="D69" s="9" t="e">
        <f>STDEV($D$58:$D$67)</f>
        <v>#DIV/0!</v>
      </c>
      <c r="F69" s="5"/>
      <c r="G69" s="9" t="e">
        <f>STDEV($G$58:$G$67)</f>
        <v>#DIV/0!</v>
      </c>
      <c r="J69" s="9" t="e">
        <f>STDEV($J$58:$J$67)</f>
        <v>#DIV/0!</v>
      </c>
      <c r="M69" s="9" t="e">
        <f>STDEV($M$41:$M$50)</f>
        <v>#DIV/0!</v>
      </c>
      <c r="O69" s="5"/>
      <c r="P69" s="9" t="e">
        <f>STDEV($P$58:$P$67)</f>
        <v>#DIV/0!</v>
      </c>
      <c r="R69" s="5"/>
      <c r="S69" s="9" t="e">
        <f>STDEV($S$58:$S$67)</f>
        <v>#DIV/0!</v>
      </c>
    </row>
    <row r="70" spans="1:21" x14ac:dyDescent="0.35">
      <c r="C70" s="42"/>
      <c r="D70" s="9"/>
      <c r="F70" s="5"/>
      <c r="G70" s="9"/>
      <c r="J70" s="9"/>
      <c r="L70" s="5"/>
      <c r="M70" s="9"/>
    </row>
    <row r="71" spans="1:21" x14ac:dyDescent="0.35">
      <c r="C71" s="42"/>
      <c r="D71" s="9"/>
      <c r="F71" s="5"/>
      <c r="G71" s="9"/>
      <c r="J71" s="9"/>
      <c r="L71" s="5"/>
      <c r="M71" s="9"/>
    </row>
    <row r="72" spans="1: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x14ac:dyDescent="0.35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22" x14ac:dyDescent="0.35">
      <c r="A75" s="6">
        <f>A8</f>
        <v>1</v>
      </c>
      <c r="B75" s="38">
        <f>B8</f>
        <v>651201133</v>
      </c>
      <c r="C75" s="39" t="str">
        <f>C8</f>
        <v>นายธีรภัทร ทับทิมไสย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22" x14ac:dyDescent="0.35">
      <c r="A76" s="6">
        <f t="shared" ref="A76:C84" si="51">A9</f>
        <v>2</v>
      </c>
      <c r="B76" s="38">
        <f t="shared" si="51"/>
        <v>651201134</v>
      </c>
      <c r="C76" s="39" t="str">
        <f t="shared" si="51"/>
        <v>นายนครินทร์ บุญสม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22" x14ac:dyDescent="0.35">
      <c r="A77" s="6">
        <f t="shared" si="51"/>
        <v>3</v>
      </c>
      <c r="B77" s="38">
        <f t="shared" si="51"/>
        <v>651201135</v>
      </c>
      <c r="C77" s="39" t="str">
        <f t="shared" si="51"/>
        <v>นายนครินทร์ พ่วงกลาง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22" x14ac:dyDescent="0.35">
      <c r="A78" s="6">
        <f t="shared" si="51"/>
        <v>4</v>
      </c>
      <c r="B78" s="38">
        <f t="shared" si="51"/>
        <v>651201136</v>
      </c>
      <c r="C78" s="39" t="str">
        <f t="shared" si="51"/>
        <v>นางสาวนภเกตน์ บำรุงเพชร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22" x14ac:dyDescent="0.35">
      <c r="A79" s="6">
        <f t="shared" si="51"/>
        <v>5</v>
      </c>
      <c r="B79" s="38">
        <f t="shared" si="51"/>
        <v>651201137</v>
      </c>
      <c r="C79" s="39" t="str">
        <f t="shared" si="51"/>
        <v>นางสาวนภาพร ไพรเขียว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22" x14ac:dyDescent="0.35">
      <c r="A80" s="6">
        <f t="shared" si="51"/>
        <v>6</v>
      </c>
      <c r="B80" s="38">
        <f t="shared" si="51"/>
        <v>651201138</v>
      </c>
      <c r="C80" s="39" t="str">
        <f t="shared" si="51"/>
        <v>นางสาวนลินนิภา นุทธนู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22" x14ac:dyDescent="0.35">
      <c r="A81" s="6">
        <f t="shared" si="51"/>
        <v>7</v>
      </c>
      <c r="B81" s="38">
        <f t="shared" si="51"/>
        <v>651201139</v>
      </c>
      <c r="C81" s="39" t="str">
        <f t="shared" si="51"/>
        <v>นายนัทนรินทร์ เถียนสูงเนิน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22" x14ac:dyDescent="0.35">
      <c r="A82" s="6">
        <f t="shared" si="51"/>
        <v>8</v>
      </c>
      <c r="B82" s="38">
        <f t="shared" si="51"/>
        <v>651201140</v>
      </c>
      <c r="C82" s="39" t="str">
        <f t="shared" si="51"/>
        <v>นายนนั ทวัฒน์ สุพะกะ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x14ac:dyDescent="0.35">
      <c r="A83" s="6">
        <f t="shared" si="51"/>
        <v>9</v>
      </c>
      <c r="B83" s="38">
        <f t="shared" si="51"/>
        <v>0</v>
      </c>
      <c r="C83" s="39">
        <f t="shared" si="51"/>
        <v>0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x14ac:dyDescent="0.35">
      <c r="C85" s="42" t="s">
        <v>13</v>
      </c>
      <c r="D85" s="9" t="e">
        <f>AVERAGE($D$75:$D$84)</f>
        <v>#DIV/0!</v>
      </c>
      <c r="G85" s="9" t="e">
        <f>AVERAGE($G$75:$G$84)</f>
        <v>#DIV/0!</v>
      </c>
      <c r="J85" s="9" t="e">
        <f>AVERAGE($J$75:$J$84)</f>
        <v>#DIV/0!</v>
      </c>
      <c r="M85" s="9" t="e">
        <f>AVERAGE($M$75:$M$84)</f>
        <v>#DIV/0!</v>
      </c>
      <c r="P85" s="9" t="e">
        <f>AVERAGE($P$75:$P$84)</f>
        <v>#DIV/0!</v>
      </c>
      <c r="S85" s="9" t="e">
        <f>AVERAGE($S$75:$S$84)</f>
        <v>#DIV/0!</v>
      </c>
    </row>
    <row r="86" spans="1:21" x14ac:dyDescent="0.35">
      <c r="C86" s="42" t="s">
        <v>14</v>
      </c>
      <c r="D86" s="9" t="e">
        <f>STDEV($D$75:$D$84)</f>
        <v>#DIV/0!</v>
      </c>
      <c r="F86" s="5"/>
      <c r="G86" s="9" t="e">
        <f>STDEV($G$75:$G$84)</f>
        <v>#DIV/0!</v>
      </c>
      <c r="J86" s="9" t="e">
        <f>STDEV(J75:J84)</f>
        <v>#DIV/0!</v>
      </c>
      <c r="L86" s="5"/>
      <c r="M86" s="9" t="e">
        <f>STDEV($M$75:$M$84)</f>
        <v>#DIV/0!</v>
      </c>
      <c r="P86" s="9" t="e">
        <f>STDEV(P75:P84)</f>
        <v>#DIV/0!</v>
      </c>
      <c r="S86" s="9" t="e">
        <f>STDEV($S$75:$S$84)</f>
        <v>#DIV/0!</v>
      </c>
    </row>
    <row r="87" spans="1:21" x14ac:dyDescent="0.35">
      <c r="C87" s="42"/>
      <c r="D87" s="9"/>
      <c r="F87" s="5"/>
      <c r="G87" s="9"/>
      <c r="J87" s="9"/>
      <c r="L87" s="5"/>
      <c r="M87" s="9"/>
      <c r="P87" s="1" t="s">
        <v>2</v>
      </c>
    </row>
    <row r="88" spans="1:21" x14ac:dyDescent="0.35">
      <c r="C88" s="42"/>
      <c r="D88" s="9"/>
      <c r="F88" s="5"/>
      <c r="G88" s="9"/>
      <c r="J88" s="9"/>
      <c r="L88" s="5"/>
      <c r="M88" s="9"/>
    </row>
    <row r="89" spans="1:21" x14ac:dyDescent="0.35">
      <c r="B89" s="85" t="s">
        <v>148</v>
      </c>
      <c r="C89" s="42"/>
      <c r="D89" s="9"/>
      <c r="F89" s="5"/>
      <c r="G89" s="9"/>
      <c r="J89" s="9"/>
      <c r="L89" s="5"/>
      <c r="M89" s="9"/>
      <c r="P89" s="9"/>
    </row>
    <row r="90" spans="1:21" x14ac:dyDescent="0.35">
      <c r="C90" s="42"/>
      <c r="D90" s="9"/>
      <c r="F90" s="5"/>
      <c r="G90" s="9"/>
    </row>
    <row r="91" spans="1: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</row>
    <row r="92" spans="1: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3</v>
      </c>
      <c r="K92" s="7">
        <f>ROUND((J92*100)/$J$101,2)</f>
        <v>37.5</v>
      </c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</row>
    <row r="93" spans="1:21" x14ac:dyDescent="0.35">
      <c r="A93" s="6">
        <f>A8</f>
        <v>1</v>
      </c>
      <c r="B93" s="6">
        <f t="shared" ref="B93:C93" si="64">B8</f>
        <v>651201133</v>
      </c>
      <c r="C93" s="78" t="str">
        <f t="shared" si="64"/>
        <v>นายธีรภัทร ทับทิมไสย</v>
      </c>
      <c r="D93" s="3">
        <f>ROUND(SUM(E8,H8,K8,N8,Q8,T8,E24,H24,K24,N24,Q24,T24,E41,H41,K41,N41,Q41,T41,E58,H58,K58,N58,Q58,T58,E75,H75,K75,N75,Q75,T75),2)</f>
        <v>79.33</v>
      </c>
      <c r="E93" s="8">
        <f>ROUND(SUM(F8,I8,L8,O8,R8,U8,F24,I24,L24,O24,R24,U24,F41,I41,L41,O41,R41,U41,F58,I58,L58,O58,R58,U58,F75,I75,L75,O75,R75,U75),2)</f>
        <v>442.88</v>
      </c>
      <c r="F93" s="204" t="str">
        <f t="shared" ref="F93:F102" si="65">IF(D93=0,"-",IF(D93&gt;=$R$92,$T$92,IF(D93&gt;=$R$93,$T$93,IF(D93&gt;=$R$94,$T$94,IF(D93&gt;=$R$95,$T$95,IF(D93&gt;=$R$96,$T$96,$T$97))))))</f>
        <v>B</v>
      </c>
      <c r="G93" s="204"/>
      <c r="H93" s="80"/>
      <c r="I93" s="81" t="s">
        <v>111</v>
      </c>
      <c r="J93" s="77">
        <f t="shared" ref="J93:J100" si="66">COUNTIF($F$93:$G$102,I93)</f>
        <v>3</v>
      </c>
      <c r="K93" s="7">
        <f t="shared" ref="K93:K101" si="67">ROUND((J93*100)/$J$101,2)</f>
        <v>37.5</v>
      </c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</row>
    <row r="94" spans="1:21" x14ac:dyDescent="0.35">
      <c r="A94" s="6">
        <f t="shared" ref="A94:C102" si="68">A9</f>
        <v>2</v>
      </c>
      <c r="B94" s="6">
        <f t="shared" si="68"/>
        <v>651201134</v>
      </c>
      <c r="C94" s="78" t="str">
        <f t="shared" si="68"/>
        <v>นายนครินทร์ บุญสม</v>
      </c>
      <c r="D94" s="3">
        <f t="shared" ref="D94:E102" si="69">ROUND(SUM(E9,H9,K9,N9,Q9,T9,E25,H25,K25,N25,Q25,T25,E42,H42,K42,N42,Q42,T42,E59,H59,K59,N59,Q59,T59,E76,H76,K76,N76,Q76,T76),2)</f>
        <v>87.25</v>
      </c>
      <c r="E94" s="8">
        <f t="shared" si="69"/>
        <v>641.26</v>
      </c>
      <c r="F94" s="204" t="str">
        <f t="shared" si="65"/>
        <v>A</v>
      </c>
      <c r="G94" s="204"/>
      <c r="H94" s="80"/>
      <c r="I94" s="77" t="s">
        <v>110</v>
      </c>
      <c r="J94" s="77">
        <f t="shared" si="66"/>
        <v>2</v>
      </c>
      <c r="K94" s="7">
        <f t="shared" si="67"/>
        <v>25</v>
      </c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</row>
    <row r="95" spans="1:21" x14ac:dyDescent="0.35">
      <c r="A95" s="6">
        <f t="shared" si="68"/>
        <v>3</v>
      </c>
      <c r="B95" s="6">
        <f t="shared" si="68"/>
        <v>651201135</v>
      </c>
      <c r="C95" s="78" t="str">
        <f t="shared" si="68"/>
        <v>นายนครินทร์ พ่วงกลาง</v>
      </c>
      <c r="D95" s="3">
        <f t="shared" si="69"/>
        <v>81.739999999999995</v>
      </c>
      <c r="E95" s="8">
        <f t="shared" si="69"/>
        <v>497.87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</row>
    <row r="96" spans="1:21" x14ac:dyDescent="0.35">
      <c r="A96" s="6">
        <f t="shared" si="68"/>
        <v>4</v>
      </c>
      <c r="B96" s="6">
        <f t="shared" si="68"/>
        <v>651201136</v>
      </c>
      <c r="C96" s="78" t="str">
        <f t="shared" si="68"/>
        <v>นางสาวนภเกตน์ บำรุงเพชร</v>
      </c>
      <c r="D96" s="3">
        <f t="shared" si="69"/>
        <v>80.489999999999995</v>
      </c>
      <c r="E96" s="8">
        <f t="shared" si="69"/>
        <v>452.56</v>
      </c>
      <c r="F96" s="204" t="str">
        <f t="shared" si="65"/>
        <v>B+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</row>
    <row r="97" spans="1:20" x14ac:dyDescent="0.35">
      <c r="A97" s="6">
        <f t="shared" si="68"/>
        <v>5</v>
      </c>
      <c r="B97" s="6">
        <f t="shared" si="68"/>
        <v>651201137</v>
      </c>
      <c r="C97" s="78" t="str">
        <f t="shared" si="68"/>
        <v>นางสาวนภาพร ไพรเขียว</v>
      </c>
      <c r="D97" s="3">
        <f t="shared" si="69"/>
        <v>84.73</v>
      </c>
      <c r="E97" s="8">
        <f t="shared" si="69"/>
        <v>578.01</v>
      </c>
      <c r="F97" s="204" t="str">
        <f t="shared" si="65"/>
        <v>B+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</row>
    <row r="98" spans="1:20" x14ac:dyDescent="0.35">
      <c r="A98" s="6">
        <f t="shared" si="68"/>
        <v>6</v>
      </c>
      <c r="B98" s="6">
        <f t="shared" si="68"/>
        <v>651201138</v>
      </c>
      <c r="C98" s="78" t="str">
        <f t="shared" si="68"/>
        <v>นางสาวนลินนิภา นุทธนู</v>
      </c>
      <c r="D98" s="3">
        <f t="shared" si="69"/>
        <v>85.11</v>
      </c>
      <c r="E98" s="8">
        <f t="shared" si="69"/>
        <v>582.91999999999996</v>
      </c>
      <c r="F98" s="204" t="str">
        <f t="shared" si="65"/>
        <v>A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</row>
    <row r="99" spans="1:20" x14ac:dyDescent="0.35">
      <c r="A99" s="6">
        <f t="shared" si="68"/>
        <v>7</v>
      </c>
      <c r="B99" s="6">
        <f t="shared" si="68"/>
        <v>651201139</v>
      </c>
      <c r="C99" s="78" t="str">
        <f t="shared" si="68"/>
        <v>นายนัทนรินทร์ เถียนสูงเนิน</v>
      </c>
      <c r="D99" s="3">
        <f t="shared" si="69"/>
        <v>79.64</v>
      </c>
      <c r="E99" s="8">
        <f t="shared" si="69"/>
        <v>409.36</v>
      </c>
      <c r="F99" s="204" t="str">
        <f t="shared" si="65"/>
        <v>B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</row>
    <row r="100" spans="1:20" x14ac:dyDescent="0.35">
      <c r="A100" s="6">
        <f t="shared" si="68"/>
        <v>8</v>
      </c>
      <c r="B100" s="6">
        <f t="shared" si="68"/>
        <v>651201140</v>
      </c>
      <c r="C100" s="78" t="str">
        <f t="shared" si="68"/>
        <v>นายนนั ทวัฒน์ สุพะกะ</v>
      </c>
      <c r="D100" s="3">
        <f t="shared" si="69"/>
        <v>85.01</v>
      </c>
      <c r="E100" s="8">
        <f t="shared" si="69"/>
        <v>573.54999999999995</v>
      </c>
      <c r="F100" s="204" t="str">
        <f t="shared" si="65"/>
        <v>A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</row>
    <row r="101" spans="1:20" x14ac:dyDescent="0.35">
      <c r="A101" s="6">
        <f t="shared" si="68"/>
        <v>9</v>
      </c>
      <c r="B101" s="6">
        <f t="shared" si="68"/>
        <v>0</v>
      </c>
      <c r="C101" s="78">
        <f t="shared" si="68"/>
        <v>0</v>
      </c>
      <c r="D101" s="3">
        <f t="shared" si="69"/>
        <v>0</v>
      </c>
      <c r="E101" s="8">
        <f t="shared" si="69"/>
        <v>0</v>
      </c>
      <c r="F101" s="204" t="str">
        <f t="shared" si="65"/>
        <v>-</v>
      </c>
      <c r="G101" s="204"/>
      <c r="H101" s="80"/>
      <c r="I101" s="83" t="s">
        <v>1</v>
      </c>
      <c r="J101" s="83">
        <f>SUM(J92:J100)</f>
        <v>8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</row>
    <row r="102" spans="1:20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</row>
    <row r="103" spans="1:20" x14ac:dyDescent="0.35">
      <c r="C103" s="79"/>
      <c r="D103" s="19"/>
      <c r="E103" s="19"/>
      <c r="F103" s="42"/>
      <c r="G103" s="42"/>
      <c r="H103" s="42"/>
      <c r="I103" s="42"/>
    </row>
    <row r="104" spans="1:20" x14ac:dyDescent="0.35">
      <c r="I104" s="45"/>
      <c r="J104" s="45"/>
    </row>
    <row r="105" spans="1:20" x14ac:dyDescent="0.35">
      <c r="B105" s="85" t="s">
        <v>147</v>
      </c>
      <c r="I105" s="45"/>
      <c r="J105" s="45"/>
      <c r="K105" s="45"/>
      <c r="L105" s="1" t="s">
        <v>2</v>
      </c>
    </row>
    <row r="106" spans="1:20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I106" s="5" t="s">
        <v>38</v>
      </c>
      <c r="J106" s="9"/>
      <c r="L106" s="5"/>
      <c r="O106" s="5" t="s">
        <v>39</v>
      </c>
      <c r="Q106" s="9"/>
    </row>
    <row r="107" spans="1:20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</row>
    <row r="108" spans="1:20" x14ac:dyDescent="0.35">
      <c r="A108" s="6">
        <f>A8</f>
        <v>1</v>
      </c>
      <c r="B108" s="6">
        <f t="shared" ref="B108:C108" si="70">B8</f>
        <v>651201133</v>
      </c>
      <c r="C108" s="78" t="str">
        <f t="shared" si="70"/>
        <v>นายธีรภัทร ทับทิมไสย</v>
      </c>
      <c r="D108" s="3">
        <f>ROUND(SUM(E8,H8,K8,N8,Q8,T8,E24,H24,K24,N24,Q24,T24,E41,H41,K41,N41,Q41,T41,E58,H58,K58,N58,Q58,T58,E75,H75,K75,N75,Q75,T75),2)</f>
        <v>79.33</v>
      </c>
      <c r="E108" s="3">
        <f>ROUND(SUM(F8,I8,L8,O8,R8,U8,F24,I24,L24,O24,R24,U24,F41,I41,L41,O41,R41,U41,F58,I58,L58,O58,R58,U58,F75,I75,L75,O75,R75,U75),2)</f>
        <v>442.88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B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</row>
    <row r="109" spans="1:20" x14ac:dyDescent="0.35">
      <c r="A109" s="6">
        <f t="shared" ref="A109:C117" si="72">A9</f>
        <v>2</v>
      </c>
      <c r="B109" s="6">
        <f t="shared" si="72"/>
        <v>651201134</v>
      </c>
      <c r="C109" s="78" t="str">
        <f t="shared" si="72"/>
        <v>นายนครินทร์ บุญสม</v>
      </c>
      <c r="D109" s="3">
        <f t="shared" ref="D109:E117" si="73">ROUND(SUM(E9,H9,K9,N9,Q9,T9,E25,H25,K25,N25,Q25,T25,E42,H42,K42,N42,Q42,T42,E59,H59,K59,N59,Q59,T59,E76,H76,K76,N76,Q76,T76),2)</f>
        <v>87.25</v>
      </c>
      <c r="E109" s="3">
        <f t="shared" si="73"/>
        <v>641.26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A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</row>
    <row r="110" spans="1:20" x14ac:dyDescent="0.35">
      <c r="A110" s="6">
        <f t="shared" si="72"/>
        <v>3</v>
      </c>
      <c r="B110" s="6">
        <f t="shared" si="72"/>
        <v>651201135</v>
      </c>
      <c r="C110" s="78" t="str">
        <f t="shared" si="72"/>
        <v>นายนครินทร์ พ่วงกลาง</v>
      </c>
      <c r="D110" s="3">
        <f t="shared" si="73"/>
        <v>81.739999999999995</v>
      </c>
      <c r="E110" s="3">
        <f t="shared" si="73"/>
        <v>497.87</v>
      </c>
      <c r="F110" s="7" t="str">
        <f t="shared" si="74"/>
        <v>B+</v>
      </c>
      <c r="G110" s="7" t="str">
        <f t="shared" si="75"/>
        <v>-</v>
      </c>
      <c r="I110" s="47">
        <f>IF(OR($E$128=8,$E$128=6,$E$128=4),$J$111+0.01,"-")</f>
        <v>624.59999999999991</v>
      </c>
      <c r="J110" s="47">
        <f>IF(OR($E$128=8,$E$128=6,$E$128=4),$I$110+$E$129,"-")</f>
        <v>784.91999999999985</v>
      </c>
      <c r="K110" s="91">
        <f t="shared" si="76"/>
        <v>160.31999999999994</v>
      </c>
      <c r="L110" s="7" t="str">
        <f>IF($E$128=8,$C$126,IF($E$128=6,$C$125,IF($E$128=4,$C$124,"-")))</f>
        <v>A</v>
      </c>
      <c r="M110" s="27">
        <f t="shared" si="77"/>
        <v>1</v>
      </c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</row>
    <row r="111" spans="1:20" x14ac:dyDescent="0.35">
      <c r="A111" s="6">
        <f t="shared" si="72"/>
        <v>4</v>
      </c>
      <c r="B111" s="6">
        <f t="shared" si="72"/>
        <v>651201136</v>
      </c>
      <c r="C111" s="78" t="str">
        <f t="shared" si="72"/>
        <v>นางสาวนภเกตน์ บำรุงเพชร</v>
      </c>
      <c r="D111" s="3">
        <f t="shared" si="73"/>
        <v>80.489999999999995</v>
      </c>
      <c r="E111" s="3">
        <f t="shared" si="73"/>
        <v>452.56</v>
      </c>
      <c r="F111" s="7" t="str">
        <f t="shared" si="74"/>
        <v>B</v>
      </c>
      <c r="G111" s="7" t="str">
        <f t="shared" si="75"/>
        <v>-</v>
      </c>
      <c r="I111" s="88">
        <f>IF(OR($E$128=2,$E$128=4,$E$128=6,$E$128=8),$E$124,"-")</f>
        <v>464.27</v>
      </c>
      <c r="J111" s="61">
        <f>IF(OR($E$128=2,$E$128=4,$E$128=6,$E$128=8),$E$124+E129,"-")</f>
        <v>624.58999999999992</v>
      </c>
      <c r="K111" s="91">
        <f t="shared" si="76"/>
        <v>160.31999999999994</v>
      </c>
      <c r="L111" s="7" t="str">
        <f>IF($E$128=8,$C$127,IF($E$128=6,$C$126,IF($E$128=4,$C$125,IF($E$128=2,$C$124,"-"))))</f>
        <v>B+</v>
      </c>
      <c r="M111" s="27">
        <f t="shared" si="77"/>
        <v>4</v>
      </c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</row>
    <row r="112" spans="1:20" x14ac:dyDescent="0.35">
      <c r="A112" s="6">
        <f t="shared" si="72"/>
        <v>5</v>
      </c>
      <c r="B112" s="6">
        <f t="shared" si="72"/>
        <v>651201137</v>
      </c>
      <c r="C112" s="78" t="str">
        <f t="shared" si="72"/>
        <v>นางสาวนภาพร ไพรเขียว</v>
      </c>
      <c r="D112" s="3">
        <f t="shared" si="73"/>
        <v>84.73</v>
      </c>
      <c r="E112" s="3">
        <f t="shared" si="73"/>
        <v>578.01</v>
      </c>
      <c r="F112" s="7" t="str">
        <f t="shared" si="74"/>
        <v>B+</v>
      </c>
      <c r="G112" s="7" t="str">
        <f t="shared" si="75"/>
        <v>-</v>
      </c>
      <c r="I112" s="47">
        <f>IF(OR($E$128=2,$E$128=4,$E$128=6,$E$128=8),$J$112-$E$129,"-")</f>
        <v>303.94</v>
      </c>
      <c r="J112" s="61">
        <f>IF(OR($E$128=2,$E$128=4,$E$128=6,$E$128=8),$E$124-0.01,"-")</f>
        <v>464.26</v>
      </c>
      <c r="K112" s="91">
        <f t="shared" si="76"/>
        <v>160.32</v>
      </c>
      <c r="L112" s="7" t="str">
        <f>IF($E$128=8,$C$128,IF($E$128=6,$C$127,IF($E$128=4,$C$126,IF($E$128=2,$C$125,"-"))))</f>
        <v>B</v>
      </c>
      <c r="M112" s="27">
        <f t="shared" si="77"/>
        <v>3</v>
      </c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</row>
    <row r="113" spans="1:20" x14ac:dyDescent="0.35">
      <c r="A113" s="6">
        <f t="shared" si="72"/>
        <v>6</v>
      </c>
      <c r="B113" s="6">
        <f t="shared" si="72"/>
        <v>651201138</v>
      </c>
      <c r="C113" s="78" t="str">
        <f t="shared" si="72"/>
        <v>นางสาวนลินนิภา นุทธนู</v>
      </c>
      <c r="D113" s="3">
        <f t="shared" si="73"/>
        <v>85.11</v>
      </c>
      <c r="E113" s="3">
        <f t="shared" si="73"/>
        <v>582.91999999999996</v>
      </c>
      <c r="F113" s="7" t="str">
        <f t="shared" si="74"/>
        <v>B+</v>
      </c>
      <c r="G113" s="7" t="str">
        <f t="shared" si="75"/>
        <v>-</v>
      </c>
      <c r="I113" s="47">
        <f>IF(OR($E$128=4,$E$128=6,$E$128=8),$J$113-$E$129,"-")</f>
        <v>143.61000000000001</v>
      </c>
      <c r="J113" s="47">
        <f>IF(OR($E$128=8,$E$128=6,$E$128=4),$I$112-0.01,"-")</f>
        <v>303.93</v>
      </c>
      <c r="K113" s="91">
        <f t="shared" si="76"/>
        <v>160.32</v>
      </c>
      <c r="L113" s="7" t="str">
        <f>IF($E$128=8,$C$129,IF($E$128=6,$C$128,IF($E$128=4,$C$127,"-")))</f>
        <v>C+</v>
      </c>
      <c r="M113" s="27">
        <f t="shared" si="77"/>
        <v>0</v>
      </c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</row>
    <row r="114" spans="1:20" ht="22" thickBot="1" x14ac:dyDescent="0.4">
      <c r="A114" s="6">
        <f t="shared" si="72"/>
        <v>7</v>
      </c>
      <c r="B114" s="6">
        <f t="shared" si="72"/>
        <v>651201139</v>
      </c>
      <c r="C114" s="78" t="str">
        <f t="shared" si="72"/>
        <v>นายนัทนรินทร์ เถียนสูงเนิน</v>
      </c>
      <c r="D114" s="3">
        <f t="shared" si="73"/>
        <v>79.64</v>
      </c>
      <c r="E114" s="3">
        <f t="shared" si="73"/>
        <v>409.36</v>
      </c>
      <c r="F114" s="7" t="str">
        <f t="shared" si="74"/>
        <v>B</v>
      </c>
      <c r="G114" s="7" t="str">
        <f t="shared" si="75"/>
        <v>-</v>
      </c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</row>
    <row r="115" spans="1:20" ht="22" thickBot="1" x14ac:dyDescent="0.4">
      <c r="A115" s="6">
        <f t="shared" si="72"/>
        <v>8</v>
      </c>
      <c r="B115" s="6">
        <f t="shared" si="72"/>
        <v>651201140</v>
      </c>
      <c r="C115" s="78" t="str">
        <f t="shared" si="72"/>
        <v>นายนนั ทวัฒน์ สุพะกะ</v>
      </c>
      <c r="D115" s="3">
        <f t="shared" si="73"/>
        <v>85.01</v>
      </c>
      <c r="E115" s="3">
        <f t="shared" si="73"/>
        <v>573.54999999999995</v>
      </c>
      <c r="F115" s="7" t="str">
        <f t="shared" si="74"/>
        <v>B+</v>
      </c>
      <c r="G115" s="7" t="str">
        <f t="shared" si="75"/>
        <v>-</v>
      </c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O115" s="259" t="s">
        <v>1</v>
      </c>
      <c r="P115" s="259"/>
      <c r="Q115" s="259"/>
      <c r="R115" s="259"/>
      <c r="S115" s="259"/>
      <c r="T115" s="94">
        <f>SUM(T108:T114)</f>
        <v>0</v>
      </c>
    </row>
    <row r="116" spans="1:20" ht="22" thickBot="1" x14ac:dyDescent="0.4">
      <c r="A116" s="6">
        <f t="shared" si="72"/>
        <v>9</v>
      </c>
      <c r="B116" s="6">
        <f t="shared" si="72"/>
        <v>0</v>
      </c>
      <c r="C116" s="78">
        <f t="shared" si="72"/>
        <v>0</v>
      </c>
      <c r="D116" s="3">
        <f t="shared" si="73"/>
        <v>0</v>
      </c>
      <c r="E116" s="3">
        <f t="shared" si="73"/>
        <v>0</v>
      </c>
      <c r="F116" s="7" t="str">
        <f t="shared" si="74"/>
        <v>I/E</v>
      </c>
      <c r="G116" s="7" t="str">
        <f t="shared" si="75"/>
        <v>-</v>
      </c>
      <c r="I116" s="218" t="s">
        <v>1</v>
      </c>
      <c r="J116" s="219"/>
      <c r="K116" s="219"/>
      <c r="L116" s="220"/>
      <c r="M116" s="94">
        <f>SUM(M108:M115)</f>
        <v>8</v>
      </c>
    </row>
    <row r="117" spans="1:20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</row>
    <row r="118" spans="1:20" x14ac:dyDescent="0.35">
      <c r="C118" s="79"/>
      <c r="D118" s="9"/>
      <c r="E118" s="9"/>
      <c r="F118" s="42"/>
      <c r="G118" s="42"/>
    </row>
    <row r="119" spans="1:20" x14ac:dyDescent="0.35">
      <c r="C119" s="79"/>
      <c r="D119" s="9"/>
      <c r="E119" s="9"/>
      <c r="F119" s="42"/>
      <c r="G119" s="42"/>
    </row>
    <row r="120" spans="1:20" x14ac:dyDescent="0.35">
      <c r="C120" s="79"/>
      <c r="D120" s="9"/>
      <c r="E120" s="9"/>
      <c r="F120" s="42"/>
      <c r="G120" s="42"/>
    </row>
    <row r="121" spans="1:20" x14ac:dyDescent="0.35">
      <c r="C121" s="79"/>
      <c r="D121" s="9"/>
      <c r="E121" s="9"/>
      <c r="F121" s="42"/>
      <c r="G121" s="42"/>
    </row>
    <row r="122" spans="1:20" x14ac:dyDescent="0.35">
      <c r="C122" s="79"/>
      <c r="D122" s="9"/>
      <c r="E122" s="9"/>
      <c r="F122" s="42"/>
      <c r="G122" s="42"/>
    </row>
    <row r="124" spans="1:20" x14ac:dyDescent="0.35"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464.27</v>
      </c>
    </row>
    <row r="125" spans="1:20" x14ac:dyDescent="0.35"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641.26</v>
      </c>
      <c r="O125" s="1" t="s">
        <v>154</v>
      </c>
    </row>
    <row r="126" spans="1:20" x14ac:dyDescent="0.35"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0</v>
      </c>
      <c r="O126" s="1">
        <v>1</v>
      </c>
      <c r="P126" s="1" t="s">
        <v>137</v>
      </c>
    </row>
    <row r="127" spans="1:20" x14ac:dyDescent="0.35"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641.26</v>
      </c>
      <c r="O127" s="1">
        <v>2</v>
      </c>
      <c r="P127" s="1" t="s">
        <v>155</v>
      </c>
    </row>
    <row r="128" spans="1:20" x14ac:dyDescent="0.35"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O128" s="1">
        <v>3</v>
      </c>
      <c r="P128" s="1" t="s">
        <v>156</v>
      </c>
    </row>
    <row r="129" spans="1:19" x14ac:dyDescent="0.35"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160.32</v>
      </c>
      <c r="O129" s="202"/>
      <c r="P129" s="202"/>
      <c r="Q129" s="202"/>
      <c r="R129" s="202"/>
      <c r="S129" s="202"/>
    </row>
    <row r="130" spans="1:19" x14ac:dyDescent="0.35"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O130" s="202"/>
      <c r="P130" s="202"/>
      <c r="Q130" s="202"/>
      <c r="R130" s="202"/>
      <c r="S130" s="202"/>
    </row>
    <row r="131" spans="1:19" x14ac:dyDescent="0.35">
      <c r="B131" s="6">
        <f>$B$124-3.5</f>
        <v>0.5</v>
      </c>
      <c r="C131" s="6" t="str">
        <f t="shared" si="80"/>
        <v>E</v>
      </c>
      <c r="O131" s="221"/>
      <c r="P131" s="221"/>
      <c r="Q131" s="221"/>
      <c r="R131" s="221"/>
      <c r="S131" s="221"/>
    </row>
    <row r="132" spans="1:19" x14ac:dyDescent="0.35">
      <c r="B132" s="6">
        <f>$B$124-4</f>
        <v>0</v>
      </c>
      <c r="C132" s="6" t="str">
        <f>IF(B132=4,"A",IF(B132=3.5,"B+",IF(B132=3,"B",IF(B132=2.5,"C+",IF(B132=2,"C",IF(B132=1.5,"D+",IF(B132=1,"D","E")))))))</f>
        <v>E</v>
      </c>
    </row>
    <row r="136" spans="1:19" x14ac:dyDescent="0.35">
      <c r="C136" s="256" t="s">
        <v>188</v>
      </c>
      <c r="D136" s="256"/>
      <c r="E136" s="256"/>
      <c r="G136" s="1">
        <v>1</v>
      </c>
    </row>
    <row r="137" spans="1:19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</row>
    <row r="138" spans="1:19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</row>
    <row r="139" spans="1:19" x14ac:dyDescent="0.35">
      <c r="A139" s="6">
        <f>A8</f>
        <v>1</v>
      </c>
      <c r="B139" s="6">
        <f t="shared" ref="B139:C139" si="81">B8</f>
        <v>651201133</v>
      </c>
      <c r="C139" s="78" t="str">
        <f t="shared" si="81"/>
        <v>นายธีรภัทร ทับทิมไสย</v>
      </c>
      <c r="D139" s="3">
        <f>D93</f>
        <v>79.33</v>
      </c>
      <c r="E139" s="3">
        <f>E93</f>
        <v>442.88</v>
      </c>
      <c r="F139" s="204" t="str">
        <f>IF($G$136=1,F93,IF($G$136=2,F108,G108))</f>
        <v>B</v>
      </c>
      <c r="G139" s="204"/>
    </row>
    <row r="140" spans="1:19" x14ac:dyDescent="0.35">
      <c r="A140" s="6">
        <f t="shared" ref="A140:C148" si="82">A9</f>
        <v>2</v>
      </c>
      <c r="B140" s="6">
        <f t="shared" si="82"/>
        <v>651201134</v>
      </c>
      <c r="C140" s="78" t="str">
        <f t="shared" si="82"/>
        <v>นายนครินทร์ บุญสม</v>
      </c>
      <c r="D140" s="3">
        <f t="shared" ref="D140:E148" si="83">D94</f>
        <v>87.25</v>
      </c>
      <c r="E140" s="3">
        <f t="shared" si="83"/>
        <v>641.26</v>
      </c>
      <c r="F140" s="204" t="str">
        <f t="shared" ref="F140:F148" si="84">IF($G$136=1,F94,IF($G$136=2,F109,G109))</f>
        <v>A</v>
      </c>
      <c r="G140" s="204"/>
    </row>
    <row r="141" spans="1:19" x14ac:dyDescent="0.35">
      <c r="A141" s="6">
        <f t="shared" si="82"/>
        <v>3</v>
      </c>
      <c r="B141" s="6">
        <f t="shared" si="82"/>
        <v>651201135</v>
      </c>
      <c r="C141" s="78" t="str">
        <f t="shared" si="82"/>
        <v>นายนครินทร์ พ่วงกลาง</v>
      </c>
      <c r="D141" s="3">
        <f t="shared" si="83"/>
        <v>81.739999999999995</v>
      </c>
      <c r="E141" s="3">
        <f t="shared" si="83"/>
        <v>497.87</v>
      </c>
      <c r="F141" s="204" t="str">
        <f t="shared" si="84"/>
        <v>B+</v>
      </c>
      <c r="G141" s="204"/>
    </row>
    <row r="142" spans="1:19" x14ac:dyDescent="0.35">
      <c r="A142" s="6">
        <f t="shared" si="82"/>
        <v>4</v>
      </c>
      <c r="B142" s="6">
        <f t="shared" si="82"/>
        <v>651201136</v>
      </c>
      <c r="C142" s="78" t="str">
        <f t="shared" si="82"/>
        <v>นางสาวนภเกตน์ บำรุงเพชร</v>
      </c>
      <c r="D142" s="3">
        <f t="shared" si="83"/>
        <v>80.489999999999995</v>
      </c>
      <c r="E142" s="3">
        <f t="shared" si="83"/>
        <v>452.56</v>
      </c>
      <c r="F142" s="204" t="str">
        <f t="shared" si="84"/>
        <v>B+</v>
      </c>
      <c r="G142" s="204"/>
    </row>
    <row r="143" spans="1:19" x14ac:dyDescent="0.35">
      <c r="A143" s="6">
        <f t="shared" si="82"/>
        <v>5</v>
      </c>
      <c r="B143" s="6">
        <f t="shared" si="82"/>
        <v>651201137</v>
      </c>
      <c r="C143" s="78" t="str">
        <f t="shared" si="82"/>
        <v>นางสาวนภาพร ไพรเขียว</v>
      </c>
      <c r="D143" s="3">
        <f t="shared" si="83"/>
        <v>84.73</v>
      </c>
      <c r="E143" s="3">
        <f t="shared" si="83"/>
        <v>578.01</v>
      </c>
      <c r="F143" s="204" t="str">
        <f t="shared" si="84"/>
        <v>B+</v>
      </c>
      <c r="G143" s="204"/>
    </row>
    <row r="144" spans="1:19" x14ac:dyDescent="0.35">
      <c r="A144" s="6">
        <f t="shared" si="82"/>
        <v>6</v>
      </c>
      <c r="B144" s="6">
        <f t="shared" si="82"/>
        <v>651201138</v>
      </c>
      <c r="C144" s="78" t="str">
        <f t="shared" si="82"/>
        <v>นางสาวนลินนิภา นุทธนู</v>
      </c>
      <c r="D144" s="3">
        <f t="shared" si="83"/>
        <v>85.11</v>
      </c>
      <c r="E144" s="3">
        <f t="shared" si="83"/>
        <v>582.91999999999996</v>
      </c>
      <c r="F144" s="204" t="str">
        <f t="shared" si="84"/>
        <v>A</v>
      </c>
      <c r="G144" s="204"/>
    </row>
    <row r="145" spans="1:7" x14ac:dyDescent="0.35">
      <c r="A145" s="6">
        <f t="shared" si="82"/>
        <v>7</v>
      </c>
      <c r="B145" s="6">
        <f t="shared" si="82"/>
        <v>651201139</v>
      </c>
      <c r="C145" s="78" t="str">
        <f t="shared" si="82"/>
        <v>นายนัทนรินทร์ เถียนสูงเนิน</v>
      </c>
      <c r="D145" s="3">
        <f t="shared" si="83"/>
        <v>79.64</v>
      </c>
      <c r="E145" s="3">
        <f t="shared" si="83"/>
        <v>409.36</v>
      </c>
      <c r="F145" s="204" t="str">
        <f t="shared" si="84"/>
        <v>B</v>
      </c>
      <c r="G145" s="204"/>
    </row>
    <row r="146" spans="1:7" x14ac:dyDescent="0.35">
      <c r="A146" s="6">
        <f t="shared" si="82"/>
        <v>8</v>
      </c>
      <c r="B146" s="6">
        <f t="shared" si="82"/>
        <v>651201140</v>
      </c>
      <c r="C146" s="78" t="str">
        <f t="shared" si="82"/>
        <v>นายนนั ทวัฒน์ สุพะกะ</v>
      </c>
      <c r="D146" s="3">
        <f t="shared" si="83"/>
        <v>85.01</v>
      </c>
      <c r="E146" s="3">
        <f t="shared" si="83"/>
        <v>573.54999999999995</v>
      </c>
      <c r="F146" s="204" t="str">
        <f t="shared" si="84"/>
        <v>A</v>
      </c>
      <c r="G146" s="204"/>
    </row>
    <row r="147" spans="1:7" x14ac:dyDescent="0.35">
      <c r="A147" s="6">
        <f t="shared" si="82"/>
        <v>9</v>
      </c>
      <c r="B147" s="6">
        <f t="shared" si="82"/>
        <v>0</v>
      </c>
      <c r="C147" s="78">
        <f t="shared" si="82"/>
        <v>0</v>
      </c>
      <c r="D147" s="3">
        <f t="shared" si="83"/>
        <v>0</v>
      </c>
      <c r="E147" s="3">
        <f t="shared" si="83"/>
        <v>0</v>
      </c>
      <c r="F147" s="204" t="str">
        <f t="shared" si="84"/>
        <v>-</v>
      </c>
      <c r="G147" s="204"/>
    </row>
    <row r="148" spans="1:7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</row>
  </sheetData>
  <sheetProtection selectLockedCells="1"/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0866141732283472" right="0.70866141732283472" top="0.31496062992125984" bottom="0.19685039370078741" header="0.31496062992125984" footer="0.19685039370078741"/>
  <pageSetup paperSize="9" scale="66" orientation="landscape" verticalDpi="300" r:id="rId1"/>
  <rowBreaks count="3" manualBreakCount="3">
    <brk id="36" max="16383" man="1"/>
    <brk id="70" max="20" man="1"/>
    <brk id="8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7</xdr:col>
                    <xdr:colOff>25400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A1D9-95D6-3148-A7E4-A44480249602}">
  <sheetPr>
    <tabColor theme="9" tint="0.59999389629810485"/>
  </sheetPr>
  <dimension ref="A1:U149"/>
  <sheetViews>
    <sheetView zoomScale="83" workbookViewId="0">
      <selection sqref="A1:U3"/>
    </sheetView>
  </sheetViews>
  <sheetFormatPr baseColWidth="10" defaultRowHeight="15" x14ac:dyDescent="0.2"/>
  <sheetData>
    <row r="1" spans="1:21" ht="21" x14ac:dyDescent="0.2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21" x14ac:dyDescent="0.2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1" x14ac:dyDescent="0.2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1" x14ac:dyDescent="0.35">
      <c r="A4" s="2"/>
      <c r="B4" s="2"/>
      <c r="C4" s="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1" x14ac:dyDescent="0.2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ht="21" x14ac:dyDescent="0.2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ht="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88">
        <v>651201141</v>
      </c>
      <c r="C8" s="288" t="s">
        <v>257</v>
      </c>
      <c r="D8" s="286">
        <v>153</v>
      </c>
      <c r="E8" s="8">
        <f>IF(D8="-","-",IF(D8=0,0,(D8*$E$7)/$D$7))</f>
        <v>52.457142857142856</v>
      </c>
      <c r="F8" s="3">
        <f>IF(D8="-","-",IF(D8=0,0,IF($D$19=0,50,(50+(10*(STANDARDIZE(D8,$D$18,$D$19)))))*$F$7))</f>
        <v>325.9009439153387</v>
      </c>
      <c r="G8" s="286">
        <v>57</v>
      </c>
      <c r="H8" s="8">
        <f>IF(G8="-","-",IF(G8=0,0,(G8*$H$7)/$G$7))</f>
        <v>7.6</v>
      </c>
      <c r="I8" s="3">
        <f>IF(G8="-","-",IF(G8=0,0,IF($G$19=0,50,(50+(10*(STANDARDIZE(G8,$G$18,$G$19)))))*$I$7))</f>
        <v>43.876275643042057</v>
      </c>
      <c r="J8" s="286">
        <v>41</v>
      </c>
      <c r="K8" s="8">
        <f>IF(J8="-","-",IF(J8=0,0,(J8*$K$7)/$J$7))</f>
        <v>8.1999999999999993</v>
      </c>
      <c r="L8" s="3">
        <f>IF(J8="-","-",IF(J8=0,0,IF(J19=0,50,(50+(10*(STANDARDIZE(J8,$J$18,$J$19)))))*$L$7))</f>
        <v>55.06557326409434</v>
      </c>
      <c r="M8" s="286">
        <v>21</v>
      </c>
      <c r="N8" s="8">
        <f>IF(M8="-","-",IF(M8=0,0,(M8*$N$7)/$M$7))</f>
        <v>3.5</v>
      </c>
      <c r="O8" s="3">
        <f>IF(M8="-","-",IF(M8=0,0,IF($M$19=0,50,(50+(10*(STANDARDIZE(M8,$M$18,$M$19)))))*$O$7))</f>
        <v>22.299691375663393</v>
      </c>
      <c r="P8" s="286">
        <v>70</v>
      </c>
      <c r="Q8" s="8">
        <f>IF(P8="-","-",IF(P8=0,0,(P8*$Q$7)/$P$7))</f>
        <v>7.7777777777777777</v>
      </c>
      <c r="R8" s="3">
        <f>IF(P8="-","-",IF(P8=0,0,IF($P$19=0,50,(50+(10*(STANDARDIZE(P8,$P$18,$P$19)))))*$R$7))</f>
        <v>50</v>
      </c>
      <c r="S8" s="291">
        <v>18</v>
      </c>
      <c r="T8" s="8">
        <f>IF(S8="-","-",IF(S8=0,0,(S8*$T$7)/$S$7))</f>
        <v>4.5</v>
      </c>
      <c r="U8" s="3">
        <f>IF(S8="-","-",IF(S8=0,0,IF($S$19=0,50,(50+(10*(STANDARDIZE(S8,$S$18,$S$19)))))*$U$7))</f>
        <v>53.880780229803555</v>
      </c>
    </row>
    <row r="9" spans="1:21" ht="27" x14ac:dyDescent="0.45">
      <c r="A9" s="95">
        <v>2</v>
      </c>
      <c r="B9" s="289">
        <v>651201142</v>
      </c>
      <c r="C9" s="289" t="s">
        <v>258</v>
      </c>
      <c r="D9" s="287">
        <v>160</v>
      </c>
      <c r="E9" s="8">
        <f t="shared" ref="E9:E17" si="0">IF(D9="-","-",IF(D9=0,0,(D9*$E$7)/$D$7))</f>
        <v>54.857142857142854</v>
      </c>
      <c r="F9" s="3">
        <f t="shared" ref="F9:F16" si="1">IF(D9="-","-",IF(D9=0,0,IF($D$19=0,50,(50+(10*(STANDARDIZE(D9,$D$18,$D$19)))))*$F$7))</f>
        <v>379.62142018418933</v>
      </c>
      <c r="G9" s="287">
        <v>68</v>
      </c>
      <c r="H9" s="8">
        <f t="shared" ref="H9:H17" si="2">IF(G9="-","-",IF(G9=0,0,(G9*$H$7)/$G$7))</f>
        <v>9.0666666666666664</v>
      </c>
      <c r="I9" s="3">
        <f t="shared" ref="I9:I17" si="3">IF(G9="-","-",IF(G9=0,0,IF($G$19=0,50,(50+(10*(STANDARDIZE(G9,$G$18,$G$19)))))*$I$7))</f>
        <v>66.329931618554525</v>
      </c>
      <c r="J9" s="287">
        <v>45</v>
      </c>
      <c r="K9" s="8">
        <f t="shared" ref="K9:K17" si="4">IF(J9="-","-",IF(J9=0,0,(J9*$K$7)/$J$7))</f>
        <v>9</v>
      </c>
      <c r="L9" s="3">
        <f t="shared" ref="L9:L17" si="5">IF(J9="-","-",IF(J9=0,0,IF(J20=0,50,(50+(10*(STANDARDIZE(J9,$J$18,$J$19)))))*$L$7))</f>
        <v>50</v>
      </c>
      <c r="M9" s="287">
        <v>24</v>
      </c>
      <c r="N9" s="8">
        <f t="shared" ref="N9:N17" si="6">IF(M9="-","-",IF(M9=0,0,(M9*$N$7)/$M$7))</f>
        <v>4</v>
      </c>
      <c r="O9" s="3">
        <f t="shared" ref="O9:O17" si="7">IF(M9="-","-",IF(M9=0,0,IF($M$19=0,50,(50+(10*(STANDARDIZE(M9,$M$18,$M$19)))))*$O$7))</f>
        <v>33.100925873009828</v>
      </c>
      <c r="P9" s="287">
        <v>70</v>
      </c>
      <c r="Q9" s="8">
        <f t="shared" ref="Q9:Q17" si="8">IF(P9="-","-",IF(P9=0,0,(P9*$Q$7)/$P$7))</f>
        <v>7.7777777777777777</v>
      </c>
      <c r="R9" s="3">
        <f t="shared" ref="R9:R17" si="9">IF(P9="-","-",IF(P9=0,0,IF($P$19=0,50,(50+(10*(STANDARDIZE(P9,$P$18,$P$19)))))*$R$7))</f>
        <v>50</v>
      </c>
      <c r="S9" s="292">
        <v>17</v>
      </c>
      <c r="T9" s="8">
        <f t="shared" ref="T9:T17" si="10">IF(S9="-","-",IF(S9=0,0,(S9*$T$7)/$S$7))</f>
        <v>4.25</v>
      </c>
      <c r="U9" s="3">
        <f t="shared" ref="U9:U17" si="11">IF(S9="-","-",IF(S9=0,0,IF($S$19=0,50,(50+(10*(STANDARDIZE(S9,$S$18,$S$19)))))*$U$7))</f>
        <v>51.058394608128239</v>
      </c>
    </row>
    <row r="10" spans="1:21" ht="27" x14ac:dyDescent="0.45">
      <c r="A10" s="95">
        <v>3</v>
      </c>
      <c r="B10" s="289">
        <v>651201143</v>
      </c>
      <c r="C10" s="289" t="s">
        <v>259</v>
      </c>
      <c r="D10" s="287">
        <v>157</v>
      </c>
      <c r="E10" s="8">
        <f t="shared" si="0"/>
        <v>53.828571428571429</v>
      </c>
      <c r="F10" s="3">
        <f t="shared" si="1"/>
        <v>356.59835892611051</v>
      </c>
      <c r="G10" s="287">
        <v>66</v>
      </c>
      <c r="H10" s="8">
        <f t="shared" si="2"/>
        <v>8.8000000000000007</v>
      </c>
      <c r="I10" s="3">
        <f t="shared" si="3"/>
        <v>62.247448713915894</v>
      </c>
      <c r="J10" s="287">
        <v>43</v>
      </c>
      <c r="K10" s="8">
        <f t="shared" si="4"/>
        <v>8.6</v>
      </c>
      <c r="L10" s="3">
        <f t="shared" si="5"/>
        <v>50</v>
      </c>
      <c r="M10" s="287">
        <v>24</v>
      </c>
      <c r="N10" s="8">
        <f t="shared" si="6"/>
        <v>4</v>
      </c>
      <c r="O10" s="3">
        <f t="shared" si="7"/>
        <v>33.100925873009828</v>
      </c>
      <c r="P10" s="287">
        <v>70</v>
      </c>
      <c r="Q10" s="8">
        <f t="shared" si="8"/>
        <v>7.7777777777777777</v>
      </c>
      <c r="R10" s="3">
        <f t="shared" si="9"/>
        <v>50</v>
      </c>
      <c r="S10" s="292">
        <v>19</v>
      </c>
      <c r="T10" s="8">
        <f t="shared" si="10"/>
        <v>4.75</v>
      </c>
      <c r="U10" s="3">
        <f t="shared" si="11"/>
        <v>56.703165851478872</v>
      </c>
    </row>
    <row r="11" spans="1:21" ht="27" x14ac:dyDescent="0.45">
      <c r="A11" s="95">
        <v>4</v>
      </c>
      <c r="B11" s="288">
        <v>651201144</v>
      </c>
      <c r="C11" s="288" t="s">
        <v>260</v>
      </c>
      <c r="D11" s="286">
        <v>155</v>
      </c>
      <c r="E11" s="8">
        <f t="shared" si="0"/>
        <v>53.142857142857146</v>
      </c>
      <c r="F11" s="3">
        <f t="shared" si="1"/>
        <v>341.2496514207246</v>
      </c>
      <c r="G11" s="286">
        <v>57</v>
      </c>
      <c r="H11" s="8">
        <f t="shared" si="2"/>
        <v>7.6</v>
      </c>
      <c r="I11" s="3">
        <f t="shared" si="3"/>
        <v>43.876275643042057</v>
      </c>
      <c r="J11" s="286">
        <v>40</v>
      </c>
      <c r="K11" s="8">
        <f t="shared" si="4"/>
        <v>8</v>
      </c>
      <c r="L11" s="3">
        <f t="shared" si="5"/>
        <v>52.932700310791461</v>
      </c>
      <c r="M11" s="286">
        <v>21</v>
      </c>
      <c r="N11" s="8">
        <f t="shared" si="6"/>
        <v>3.5</v>
      </c>
      <c r="O11" s="3">
        <f t="shared" si="7"/>
        <v>22.299691375663393</v>
      </c>
      <c r="P11" s="286">
        <v>70</v>
      </c>
      <c r="Q11" s="8">
        <f t="shared" si="8"/>
        <v>7.7777777777777777</v>
      </c>
      <c r="R11" s="3">
        <f t="shared" si="9"/>
        <v>50</v>
      </c>
      <c r="S11" s="291">
        <v>13</v>
      </c>
      <c r="T11" s="8">
        <f t="shared" si="10"/>
        <v>3.25</v>
      </c>
      <c r="U11" s="3">
        <f t="shared" si="11"/>
        <v>39.768852121426988</v>
      </c>
    </row>
    <row r="12" spans="1:21" ht="27" x14ac:dyDescent="0.45">
      <c r="A12" s="95">
        <v>5</v>
      </c>
      <c r="B12" s="290">
        <v>651201145</v>
      </c>
      <c r="C12" s="290" t="s">
        <v>261</v>
      </c>
      <c r="D12" s="69">
        <v>140</v>
      </c>
      <c r="E12" s="8">
        <f t="shared" si="0"/>
        <v>48</v>
      </c>
      <c r="F12" s="3">
        <f t="shared" si="1"/>
        <v>226.13434513033033</v>
      </c>
      <c r="G12" s="69">
        <v>57</v>
      </c>
      <c r="H12" s="8">
        <f t="shared" si="2"/>
        <v>7.6</v>
      </c>
      <c r="I12" s="3">
        <f t="shared" si="3"/>
        <v>43.876275643042057</v>
      </c>
      <c r="J12" s="69">
        <v>34</v>
      </c>
      <c r="K12" s="8">
        <f t="shared" si="4"/>
        <v>6.8</v>
      </c>
      <c r="L12" s="3">
        <f t="shared" si="5"/>
        <v>50</v>
      </c>
      <c r="M12" s="69">
        <v>21</v>
      </c>
      <c r="N12" s="8">
        <f t="shared" si="6"/>
        <v>3.5</v>
      </c>
      <c r="O12" s="3">
        <f t="shared" si="7"/>
        <v>22.299691375663393</v>
      </c>
      <c r="P12" s="69">
        <v>70</v>
      </c>
      <c r="Q12" s="8">
        <f t="shared" si="8"/>
        <v>7.7777777777777777</v>
      </c>
      <c r="R12" s="3">
        <f t="shared" si="9"/>
        <v>50</v>
      </c>
      <c r="S12">
        <v>16</v>
      </c>
      <c r="T12" s="8">
        <f t="shared" si="10"/>
        <v>4</v>
      </c>
      <c r="U12" s="3">
        <f t="shared" si="11"/>
        <v>48.23600898645293</v>
      </c>
    </row>
    <row r="13" spans="1:21" ht="27" x14ac:dyDescent="0.45">
      <c r="A13" s="95">
        <v>6</v>
      </c>
      <c r="B13" s="290">
        <v>651201146</v>
      </c>
      <c r="C13" s="290" t="s">
        <v>262</v>
      </c>
      <c r="D13" s="69">
        <v>141</v>
      </c>
      <c r="E13" s="8">
        <f t="shared" si="0"/>
        <v>48.342857142857142</v>
      </c>
      <c r="F13" s="3">
        <f t="shared" si="1"/>
        <v>233.80869888302328</v>
      </c>
      <c r="G13" s="69">
        <v>56</v>
      </c>
      <c r="H13" s="8">
        <f t="shared" si="2"/>
        <v>7.4666666666666668</v>
      </c>
      <c r="I13" s="3">
        <f t="shared" si="3"/>
        <v>41.835034190722737</v>
      </c>
      <c r="J13" s="69">
        <v>33</v>
      </c>
      <c r="K13" s="8">
        <f t="shared" si="4"/>
        <v>6.6</v>
      </c>
      <c r="L13" s="3">
        <f t="shared" si="5"/>
        <v>50</v>
      </c>
      <c r="M13" s="69">
        <v>21</v>
      </c>
      <c r="N13" s="8">
        <f t="shared" si="6"/>
        <v>3.5</v>
      </c>
      <c r="O13" s="3">
        <f t="shared" si="7"/>
        <v>22.299691375663393</v>
      </c>
      <c r="P13" s="69">
        <v>70</v>
      </c>
      <c r="Q13" s="8">
        <f t="shared" si="8"/>
        <v>7.7777777777777777</v>
      </c>
      <c r="R13" s="3">
        <f t="shared" si="9"/>
        <v>50</v>
      </c>
      <c r="S13">
        <v>20</v>
      </c>
      <c r="T13" s="8">
        <f t="shared" si="10"/>
        <v>5</v>
      </c>
      <c r="U13" s="3">
        <f t="shared" si="11"/>
        <v>59.525551473154181</v>
      </c>
    </row>
    <row r="14" spans="1:21" ht="27" x14ac:dyDescent="0.45">
      <c r="A14" s="95">
        <v>7</v>
      </c>
      <c r="B14" s="290">
        <v>651201147</v>
      </c>
      <c r="C14" s="290" t="s">
        <v>263</v>
      </c>
      <c r="D14" s="69">
        <v>142</v>
      </c>
      <c r="E14" s="8">
        <f t="shared" si="0"/>
        <v>48.685714285714283</v>
      </c>
      <c r="F14" s="3">
        <f t="shared" si="1"/>
        <v>241.48305263571623</v>
      </c>
      <c r="G14" s="69">
        <v>56</v>
      </c>
      <c r="H14" s="8">
        <f t="shared" si="2"/>
        <v>7.4666666666666668</v>
      </c>
      <c r="I14" s="3">
        <f t="shared" si="3"/>
        <v>41.835034190722737</v>
      </c>
      <c r="J14" s="69">
        <v>33</v>
      </c>
      <c r="K14" s="8">
        <f t="shared" si="4"/>
        <v>6.6</v>
      </c>
      <c r="L14" s="3">
        <f t="shared" si="5"/>
        <v>50</v>
      </c>
      <c r="M14" s="69">
        <v>21</v>
      </c>
      <c r="N14" s="8">
        <f t="shared" si="6"/>
        <v>3.5</v>
      </c>
      <c r="O14" s="3">
        <f t="shared" si="7"/>
        <v>22.299691375663393</v>
      </c>
      <c r="P14" s="69">
        <v>70</v>
      </c>
      <c r="Q14" s="8">
        <f t="shared" si="8"/>
        <v>7.7777777777777777</v>
      </c>
      <c r="R14" s="3">
        <f t="shared" si="9"/>
        <v>50</v>
      </c>
      <c r="S14">
        <v>10</v>
      </c>
      <c r="T14" s="8">
        <f t="shared" si="10"/>
        <v>2.5</v>
      </c>
      <c r="U14" s="3">
        <f t="shared" si="11"/>
        <v>31.30169525640105</v>
      </c>
    </row>
    <row r="15" spans="1:21" ht="27" x14ac:dyDescent="0.45">
      <c r="A15" s="95">
        <v>8</v>
      </c>
      <c r="B15" s="288">
        <v>651201148</v>
      </c>
      <c r="C15" s="288" t="s">
        <v>264</v>
      </c>
      <c r="D15" s="286">
        <v>149</v>
      </c>
      <c r="E15" s="8">
        <f t="shared" si="0"/>
        <v>51.085714285714289</v>
      </c>
      <c r="F15" s="3">
        <f t="shared" si="1"/>
        <v>295.20352890456689</v>
      </c>
      <c r="G15" s="286">
        <v>63</v>
      </c>
      <c r="H15" s="8">
        <f t="shared" si="2"/>
        <v>8.4</v>
      </c>
      <c r="I15" s="3">
        <f t="shared" si="3"/>
        <v>56.123724356957943</v>
      </c>
      <c r="J15" s="286">
        <v>40</v>
      </c>
      <c r="K15" s="8">
        <f t="shared" si="4"/>
        <v>8</v>
      </c>
      <c r="L15" s="3">
        <f t="shared" si="5"/>
        <v>50</v>
      </c>
      <c r="M15" s="286">
        <v>21</v>
      </c>
      <c r="N15" s="8">
        <f t="shared" si="6"/>
        <v>3.5</v>
      </c>
      <c r="O15" s="3">
        <f t="shared" si="7"/>
        <v>22.299691375663393</v>
      </c>
      <c r="P15" s="286">
        <v>70</v>
      </c>
      <c r="Q15" s="8">
        <f t="shared" si="8"/>
        <v>7.7777777777777777</v>
      </c>
      <c r="R15" s="3">
        <f t="shared" si="9"/>
        <v>50</v>
      </c>
      <c r="S15" s="291">
        <v>20</v>
      </c>
      <c r="T15" s="8">
        <f t="shared" si="10"/>
        <v>5</v>
      </c>
      <c r="U15" s="3">
        <f t="shared" si="11"/>
        <v>59.525551473154181</v>
      </c>
    </row>
    <row r="16" spans="1:21" ht="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ht="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21" x14ac:dyDescent="0.35">
      <c r="A18" s="2"/>
      <c r="B18" s="2"/>
      <c r="C18" s="42" t="s">
        <v>13</v>
      </c>
      <c r="D18" s="9">
        <f>AVERAGE($D$8:$D$17)</f>
        <v>149.625</v>
      </c>
      <c r="E18" s="2"/>
      <c r="F18" s="2"/>
      <c r="G18" s="9">
        <f>AVERAGE($G$8:$G$17)</f>
        <v>60</v>
      </c>
      <c r="H18" s="1"/>
      <c r="I18" s="1"/>
      <c r="J18" s="9">
        <f>AVERAGE($J$8:$J$17)</f>
        <v>38.625</v>
      </c>
      <c r="K18" s="1"/>
      <c r="L18" s="1"/>
      <c r="M18" s="9">
        <f>AVERAGE($M$8:$M$17)</f>
        <v>21.75</v>
      </c>
      <c r="N18" s="1"/>
      <c r="O18" s="1"/>
      <c r="P18" s="9">
        <f>AVERAGE($P$8:$P$17)</f>
        <v>70</v>
      </c>
      <c r="Q18" s="1"/>
      <c r="R18" s="1"/>
      <c r="S18" s="9">
        <f>AVERAGE($S$8:$S$17)</f>
        <v>16.625</v>
      </c>
      <c r="T18" s="1"/>
      <c r="U18" s="1"/>
    </row>
    <row r="19" spans="1:21" ht="21" x14ac:dyDescent="0.35">
      <c r="A19" s="2"/>
      <c r="B19" s="2"/>
      <c r="C19" s="42" t="s">
        <v>14</v>
      </c>
      <c r="D19" s="9">
        <f>STDEV($D$8:$D$17)</f>
        <v>7.8182478855559445</v>
      </c>
      <c r="E19" s="2"/>
      <c r="F19" s="2"/>
      <c r="G19" s="9">
        <f>STDEV($G$8:$G$17)</f>
        <v>4.8989794855663558</v>
      </c>
      <c r="H19" s="1"/>
      <c r="I19" s="1"/>
      <c r="J19" s="9">
        <f>STDEV($J$8:$J$17)</f>
        <v>4.6885117955640103</v>
      </c>
      <c r="K19" s="1"/>
      <c r="L19" s="1"/>
      <c r="M19" s="9">
        <f>STDEV($M$8:$M$17)</f>
        <v>1.3887301496588271</v>
      </c>
      <c r="N19" s="1"/>
      <c r="O19" s="1"/>
      <c r="P19" s="9">
        <f>STDEV($P$8:$P$17)</f>
        <v>0</v>
      </c>
      <c r="Q19" s="1"/>
      <c r="R19" s="1"/>
      <c r="S19" s="9">
        <f>STDEV(S8:S17)</f>
        <v>3.5431019500674021</v>
      </c>
      <c r="T19" s="1"/>
      <c r="U19" s="1"/>
    </row>
    <row r="20" spans="1:21" ht="21" x14ac:dyDescent="0.2">
      <c r="A20" s="2"/>
      <c r="B20" s="2"/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21" x14ac:dyDescent="0.2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21" x14ac:dyDescent="0.2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ht="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66" x14ac:dyDescent="0.35">
      <c r="A24" s="6">
        <v>1</v>
      </c>
      <c r="B24" s="38">
        <f>B8</f>
        <v>651201141</v>
      </c>
      <c r="C24" s="39" t="str">
        <f>C8</f>
        <v>นางสาวเนตรนภา วงศ์ศรีแก้ว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44" x14ac:dyDescent="0.35">
      <c r="A25" s="6">
        <v>2</v>
      </c>
      <c r="B25" s="38">
        <f t="shared" ref="B25:C33" si="12">B9</f>
        <v>651201142</v>
      </c>
      <c r="C25" s="39" t="str">
        <f t="shared" si="12"/>
        <v>นางสาวเบญจวรรณ พั่วพันศรี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44" x14ac:dyDescent="0.35">
      <c r="A26" s="6">
        <v>3</v>
      </c>
      <c r="B26" s="38">
        <f t="shared" si="12"/>
        <v>651201143</v>
      </c>
      <c r="C26" s="39" t="str">
        <f t="shared" si="12"/>
        <v>นางสาวปนัดดา ไชยทองศรี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44" x14ac:dyDescent="0.35">
      <c r="A27" s="6">
        <v>4</v>
      </c>
      <c r="B27" s="38">
        <f t="shared" si="12"/>
        <v>651201144</v>
      </c>
      <c r="C27" s="39" t="str">
        <f t="shared" si="12"/>
        <v>นางสาวปนัดดา ริกำแง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44" x14ac:dyDescent="0.35">
      <c r="A28" s="6">
        <v>5</v>
      </c>
      <c r="B28" s="38">
        <f t="shared" si="12"/>
        <v>651201145</v>
      </c>
      <c r="C28" s="39" t="str">
        <f t="shared" si="12"/>
        <v>นางสาวประภาพร เชิดชู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44" x14ac:dyDescent="0.35">
      <c r="A29" s="6">
        <v>6</v>
      </c>
      <c r="B29" s="38">
        <f t="shared" si="12"/>
        <v>651201146</v>
      </c>
      <c r="C29" s="39" t="str">
        <f t="shared" si="12"/>
        <v>นางสาวปรีดานนั ต์ ลือพรม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44" x14ac:dyDescent="0.35">
      <c r="A30" s="6">
        <v>7</v>
      </c>
      <c r="B30" s="38">
        <f t="shared" si="12"/>
        <v>651201147</v>
      </c>
      <c r="C30" s="39" t="str">
        <f t="shared" si="12"/>
        <v>นางสาวปัญญาพร แสงวงศ์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44" x14ac:dyDescent="0.35">
      <c r="A31" s="6">
        <v>8</v>
      </c>
      <c r="B31" s="38">
        <f t="shared" si="12"/>
        <v>651201148</v>
      </c>
      <c r="C31" s="39" t="str">
        <f t="shared" si="12"/>
        <v>นางสาวปัญฑิษา วังวิวัฒน์ขจร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ht="21" x14ac:dyDescent="0.35">
      <c r="A32" s="6">
        <v>9</v>
      </c>
      <c r="B32" s="38">
        <f t="shared" si="12"/>
        <v>0</v>
      </c>
      <c r="C32" s="39">
        <f t="shared" si="12"/>
        <v>0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ht="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ht="21" x14ac:dyDescent="0.35">
      <c r="A34" s="2"/>
      <c r="B34" s="2"/>
      <c r="C34" s="42" t="s">
        <v>13</v>
      </c>
      <c r="D34" s="9" t="e">
        <f>AVERAGE($D$24:$D$33)</f>
        <v>#DIV/0!</v>
      </c>
      <c r="E34" s="1"/>
      <c r="F34" s="1"/>
      <c r="G34" s="9" t="e">
        <f>AVERAGE($G$24:$G$33)</f>
        <v>#DIV/0!</v>
      </c>
      <c r="H34" s="1"/>
      <c r="I34" s="1"/>
      <c r="J34" s="9" t="e">
        <f>AVERAGE($J$24:$J$33)</f>
        <v>#DIV/0!</v>
      </c>
      <c r="K34" s="1"/>
      <c r="L34" s="1"/>
      <c r="M34" s="9" t="e">
        <f>AVERAGE($M$24:$M$33)</f>
        <v>#DIV/0!</v>
      </c>
      <c r="N34" s="1"/>
      <c r="O34" s="1"/>
      <c r="P34" s="9" t="e">
        <f>AVERAGE($P$24:$P$33)</f>
        <v>#DIV/0!</v>
      </c>
      <c r="Q34" s="1"/>
      <c r="R34" s="1"/>
      <c r="S34" s="72" t="e">
        <f>AVERAGE($S$24:$S$33)</f>
        <v>#DIV/0!</v>
      </c>
      <c r="T34" s="1"/>
      <c r="U34" s="1"/>
    </row>
    <row r="35" spans="1:21" ht="21" x14ac:dyDescent="0.35">
      <c r="A35" s="2"/>
      <c r="B35" s="2"/>
      <c r="C35" s="42" t="s">
        <v>14</v>
      </c>
      <c r="D35" s="9" t="e">
        <f>STDEV($D$24:$D$33)</f>
        <v>#DIV/0!</v>
      </c>
      <c r="E35" s="1"/>
      <c r="F35" s="5"/>
      <c r="G35" s="9" t="e">
        <f>STDEV($G$24:$G$33)</f>
        <v>#DIV/0!</v>
      </c>
      <c r="H35" s="1"/>
      <c r="I35" s="1"/>
      <c r="J35" s="9" t="e">
        <f>STDEV($J$24:$J$33)</f>
        <v>#DIV/0!</v>
      </c>
      <c r="K35" s="1"/>
      <c r="L35" s="5"/>
      <c r="M35" s="9" t="e">
        <f>STDEV($M$24:$M$33)</f>
        <v>#DIV/0!</v>
      </c>
      <c r="N35" s="1"/>
      <c r="O35" s="1"/>
      <c r="P35" s="9" t="e">
        <f>STDEV($P$24:$P$33)</f>
        <v>#DIV/0!</v>
      </c>
      <c r="Q35" s="1"/>
      <c r="R35" s="1"/>
      <c r="S35" s="72" t="e">
        <f>STDEV($S$24:$S$33)</f>
        <v>#DIV/0!</v>
      </c>
      <c r="T35" s="1"/>
      <c r="U35" s="1"/>
    </row>
    <row r="36" spans="1:21" ht="21" x14ac:dyDescent="0.35">
      <c r="A36" s="2"/>
      <c r="B36" s="2"/>
      <c r="C36" s="42"/>
      <c r="D36" s="9"/>
      <c r="E36" s="1"/>
      <c r="F36" s="5"/>
      <c r="G36" s="9" t="s">
        <v>2</v>
      </c>
      <c r="H36" s="1"/>
      <c r="I36" s="1"/>
      <c r="J36" s="9"/>
      <c r="K36" s="1"/>
      <c r="L36" s="5"/>
      <c r="M36" s="9"/>
      <c r="N36" s="1"/>
      <c r="O36" s="1"/>
      <c r="P36" s="1" t="s">
        <v>2</v>
      </c>
      <c r="Q36" s="1"/>
      <c r="R36" s="1"/>
      <c r="S36" s="1"/>
      <c r="T36" s="1"/>
      <c r="U36" s="1"/>
    </row>
    <row r="37" spans="1:21" ht="21" x14ac:dyDescent="0.35">
      <c r="A37" s="2"/>
      <c r="B37" s="2"/>
      <c r="C37" s="2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1"/>
      <c r="T37" s="1"/>
      <c r="U37" s="1"/>
    </row>
    <row r="38" spans="1:21" ht="21" x14ac:dyDescent="0.2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ht="21" x14ac:dyDescent="0.2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ht="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66" x14ac:dyDescent="0.35">
      <c r="A41" s="6">
        <v>1</v>
      </c>
      <c r="B41" s="38">
        <f>B8</f>
        <v>651201141</v>
      </c>
      <c r="C41" s="39" t="str">
        <f>C8</f>
        <v>นางสาวเนตรนภา วงศ์ศรีแก้ว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44" x14ac:dyDescent="0.35">
      <c r="A42" s="6">
        <v>2</v>
      </c>
      <c r="B42" s="38">
        <f t="shared" ref="B42:C50" si="25">B9</f>
        <v>651201142</v>
      </c>
      <c r="C42" s="39" t="str">
        <f t="shared" si="25"/>
        <v>นางสาวเบญจวรรณ พั่วพันศรี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44" x14ac:dyDescent="0.35">
      <c r="A43" s="6">
        <v>3</v>
      </c>
      <c r="B43" s="38">
        <f t="shared" si="25"/>
        <v>651201143</v>
      </c>
      <c r="C43" s="39" t="str">
        <f t="shared" si="25"/>
        <v>นางสาวปนัดดา ไชยทองศรี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44" x14ac:dyDescent="0.35">
      <c r="A44" s="6">
        <v>4</v>
      </c>
      <c r="B44" s="38">
        <f t="shared" si="25"/>
        <v>651201144</v>
      </c>
      <c r="C44" s="39" t="str">
        <f t="shared" si="25"/>
        <v>นางสาวปนัดดา ริกำแง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44" x14ac:dyDescent="0.35">
      <c r="A45" s="6">
        <v>5</v>
      </c>
      <c r="B45" s="38">
        <f t="shared" si="25"/>
        <v>651201145</v>
      </c>
      <c r="C45" s="39" t="str">
        <f t="shared" si="25"/>
        <v>นางสาวประภาพร เชิดชู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44" x14ac:dyDescent="0.35">
      <c r="A46" s="6">
        <v>6</v>
      </c>
      <c r="B46" s="38">
        <f t="shared" si="25"/>
        <v>651201146</v>
      </c>
      <c r="C46" s="39" t="str">
        <f t="shared" si="25"/>
        <v>นางสาวปรีดานนั ต์ ลือพรม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44" x14ac:dyDescent="0.35">
      <c r="A47" s="6">
        <v>7</v>
      </c>
      <c r="B47" s="38">
        <f t="shared" si="25"/>
        <v>651201147</v>
      </c>
      <c r="C47" s="39" t="str">
        <f t="shared" si="25"/>
        <v>นางสาวปัญญาพร แสงวงศ์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44" x14ac:dyDescent="0.35">
      <c r="A48" s="6">
        <v>8</v>
      </c>
      <c r="B48" s="38">
        <f t="shared" si="25"/>
        <v>651201148</v>
      </c>
      <c r="C48" s="39" t="str">
        <f t="shared" si="25"/>
        <v>นางสาวปัญฑิษา วังวิวัฒน์ขจร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ht="21" x14ac:dyDescent="0.35">
      <c r="A49" s="6">
        <v>9</v>
      </c>
      <c r="B49" s="38">
        <f t="shared" si="25"/>
        <v>0</v>
      </c>
      <c r="C49" s="39">
        <f t="shared" si="25"/>
        <v>0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ht="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ht="21" x14ac:dyDescent="0.35">
      <c r="A51" s="2"/>
      <c r="B51" s="2"/>
      <c r="C51" s="42" t="s">
        <v>13</v>
      </c>
      <c r="D51" s="9" t="e">
        <f>AVERAGE($D$41:$D$50)</f>
        <v>#DIV/0!</v>
      </c>
      <c r="E51" s="1"/>
      <c r="F51" s="1"/>
      <c r="G51" s="9" t="e">
        <f>AVERAGE($G$41:$G$50)</f>
        <v>#DIV/0!</v>
      </c>
      <c r="H51" s="1"/>
      <c r="I51" s="1"/>
      <c r="J51" s="9" t="e">
        <f>AVERAGE($J$41:$J$50)</f>
        <v>#DIV/0!</v>
      </c>
      <c r="K51" s="1"/>
      <c r="L51" s="1"/>
      <c r="M51" s="9" t="e">
        <f>AVERAGE($M$41:$M$50)</f>
        <v>#DIV/0!</v>
      </c>
      <c r="N51" s="1"/>
      <c r="O51" s="1"/>
      <c r="P51" s="9" t="e">
        <f>AVERAGE($P$41:$P$50)</f>
        <v>#DIV/0!</v>
      </c>
      <c r="Q51" s="1"/>
      <c r="R51" s="1"/>
      <c r="S51" s="9" t="e">
        <f>AVERAGE($S$41:$S$50)</f>
        <v>#DIV/0!</v>
      </c>
      <c r="T51" s="1"/>
      <c r="U51" s="1"/>
    </row>
    <row r="52" spans="1:21" ht="21" x14ac:dyDescent="0.35">
      <c r="A52" s="2"/>
      <c r="B52" s="2"/>
      <c r="C52" s="42" t="s">
        <v>14</v>
      </c>
      <c r="D52" s="9" t="e">
        <f>STDEV($D$41:$D$50)</f>
        <v>#DIV/0!</v>
      </c>
      <c r="E52" s="1"/>
      <c r="F52" s="5"/>
      <c r="G52" s="9" t="e">
        <f>STDEV($G$41:$G$50)</f>
        <v>#DIV/0!</v>
      </c>
      <c r="H52" s="1"/>
      <c r="I52" s="1"/>
      <c r="J52" s="9" t="e">
        <f>STDEV($J$41:$J$50)</f>
        <v>#DIV/0!</v>
      </c>
      <c r="K52" s="1"/>
      <c r="L52" s="1"/>
      <c r="M52" s="9" t="e">
        <f>STDEV($M$41:$M$50)</f>
        <v>#DIV/0!</v>
      </c>
      <c r="N52" s="1"/>
      <c r="O52" s="5"/>
      <c r="P52" s="9" t="e">
        <f>STDEV($P$41:$P$50)</f>
        <v>#DIV/0!</v>
      </c>
      <c r="Q52" s="1"/>
      <c r="R52" s="5"/>
      <c r="S52" s="9" t="e">
        <f>STDEV($S$41:$S$50)</f>
        <v>#DIV/0!</v>
      </c>
      <c r="T52" s="1"/>
      <c r="U52" s="1"/>
    </row>
    <row r="53" spans="1:21" ht="21" x14ac:dyDescent="0.35">
      <c r="A53" s="2"/>
      <c r="B53" s="2"/>
      <c r="C53" s="42"/>
      <c r="D53" s="9"/>
      <c r="E53" s="1"/>
      <c r="F53" s="5"/>
      <c r="G53" s="9"/>
      <c r="H53" s="1"/>
      <c r="I53" s="1"/>
      <c r="J53" s="9"/>
      <c r="K53" s="1"/>
      <c r="L53" s="5"/>
      <c r="M53" s="9"/>
      <c r="N53" s="1"/>
      <c r="O53" s="1"/>
      <c r="P53" s="1" t="s">
        <v>2</v>
      </c>
      <c r="Q53" s="1"/>
      <c r="R53" s="1"/>
      <c r="S53" s="1"/>
      <c r="T53" s="1"/>
      <c r="U53" s="1"/>
    </row>
    <row r="54" spans="1:21" ht="21" x14ac:dyDescent="0.35">
      <c r="A54" s="2"/>
      <c r="B54" s="2"/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1"/>
      <c r="T54" s="1"/>
      <c r="U54" s="1"/>
    </row>
    <row r="55" spans="1:21" ht="2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21" x14ac:dyDescent="0.2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ht="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44" x14ac:dyDescent="0.35">
      <c r="A58" s="6">
        <v>1</v>
      </c>
      <c r="B58" s="38">
        <f>B8</f>
        <v>651201141</v>
      </c>
      <c r="C58" s="73" t="str">
        <f>C8</f>
        <v>นางสาวเนตรนภา วงศ์ศรีแก้ว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44" x14ac:dyDescent="0.35">
      <c r="A59" s="6">
        <v>2</v>
      </c>
      <c r="B59" s="38">
        <f t="shared" ref="B59:C67" si="38">B9</f>
        <v>651201142</v>
      </c>
      <c r="C59" s="73" t="str">
        <f t="shared" si="38"/>
        <v>นางสาวเบญจวรรณ พั่วพันศรี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44" x14ac:dyDescent="0.35">
      <c r="A60" s="6">
        <v>3</v>
      </c>
      <c r="B60" s="38">
        <f t="shared" si="38"/>
        <v>651201143</v>
      </c>
      <c r="C60" s="73" t="str">
        <f t="shared" si="38"/>
        <v>นางสาวปนัดดา ไชยทองศรี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44" x14ac:dyDescent="0.35">
      <c r="A61" s="6">
        <v>4</v>
      </c>
      <c r="B61" s="38">
        <f t="shared" si="38"/>
        <v>651201144</v>
      </c>
      <c r="C61" s="73" t="str">
        <f t="shared" si="38"/>
        <v>นางสาวปนัดดา ริกำแง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44" x14ac:dyDescent="0.35">
      <c r="A62" s="6">
        <v>5</v>
      </c>
      <c r="B62" s="38">
        <f t="shared" si="38"/>
        <v>651201145</v>
      </c>
      <c r="C62" s="73" t="str">
        <f t="shared" si="38"/>
        <v>นางสาวประภาพร เชิดชู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44" x14ac:dyDescent="0.35">
      <c r="A63" s="6">
        <v>6</v>
      </c>
      <c r="B63" s="38">
        <f t="shared" si="38"/>
        <v>651201146</v>
      </c>
      <c r="C63" s="73" t="str">
        <f t="shared" si="38"/>
        <v>นางสาวปรีดานนั ต์ ลือพรม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44" x14ac:dyDescent="0.35">
      <c r="A64" s="6">
        <v>7</v>
      </c>
      <c r="B64" s="38">
        <f t="shared" si="38"/>
        <v>651201147</v>
      </c>
      <c r="C64" s="73" t="str">
        <f t="shared" si="38"/>
        <v>นางสาวปัญญาพร แสงวงศ์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44" x14ac:dyDescent="0.35">
      <c r="A65" s="6">
        <v>8</v>
      </c>
      <c r="B65" s="38">
        <f t="shared" si="38"/>
        <v>651201148</v>
      </c>
      <c r="C65" s="73" t="str">
        <f t="shared" si="38"/>
        <v>นางสาวปัญฑิษา วังวิวัฒน์ขจร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ht="21" x14ac:dyDescent="0.35">
      <c r="A66" s="6">
        <v>9</v>
      </c>
      <c r="B66" s="38">
        <f t="shared" si="38"/>
        <v>0</v>
      </c>
      <c r="C66" s="73">
        <f t="shared" si="38"/>
        <v>0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ht="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ht="21" x14ac:dyDescent="0.35">
      <c r="A68" s="2"/>
      <c r="B68" s="2"/>
      <c r="C68" s="42" t="s">
        <v>13</v>
      </c>
      <c r="D68" s="9" t="e">
        <f>AVERAGE($D$58:$D$67)</f>
        <v>#DIV/0!</v>
      </c>
      <c r="E68" s="1"/>
      <c r="F68" s="1"/>
      <c r="G68" s="9" t="e">
        <f>AVERAGE($G$58:$G$67)</f>
        <v>#DIV/0!</v>
      </c>
      <c r="H68" s="1"/>
      <c r="I68" s="1"/>
      <c r="J68" s="9" t="e">
        <f>AVERAGE($J$58:$J$67)</f>
        <v>#DIV/0!</v>
      </c>
      <c r="K68" s="1"/>
      <c r="L68" s="1"/>
      <c r="M68" s="9" t="e">
        <f>AVERAGE($M$58:$M$67)</f>
        <v>#DIV/0!</v>
      </c>
      <c r="N68" s="1"/>
      <c r="O68" s="1"/>
      <c r="P68" s="9" t="e">
        <f>AVERAGE($P$58:$P$67)</f>
        <v>#DIV/0!</v>
      </c>
      <c r="Q68" s="1"/>
      <c r="R68" s="1"/>
      <c r="S68" s="9" t="e">
        <f>AVERAGE($S$58:$S$67)</f>
        <v>#DIV/0!</v>
      </c>
      <c r="T68" s="1"/>
      <c r="U68" s="1"/>
    </row>
    <row r="69" spans="1:21" ht="21" x14ac:dyDescent="0.35">
      <c r="A69" s="2"/>
      <c r="B69" s="2"/>
      <c r="C69" s="42" t="s">
        <v>14</v>
      </c>
      <c r="D69" s="9" t="e">
        <f>STDEV($D$58:$D$67)</f>
        <v>#DIV/0!</v>
      </c>
      <c r="E69" s="1"/>
      <c r="F69" s="5"/>
      <c r="G69" s="9" t="e">
        <f>STDEV($G$58:$G$67)</f>
        <v>#DIV/0!</v>
      </c>
      <c r="H69" s="1"/>
      <c r="I69" s="1"/>
      <c r="J69" s="9" t="e">
        <f>STDEV($J$58:$J$67)</f>
        <v>#DIV/0!</v>
      </c>
      <c r="K69" s="1"/>
      <c r="L69" s="1"/>
      <c r="M69" s="9" t="e">
        <f>STDEV($M$41:$M$50)</f>
        <v>#DIV/0!</v>
      </c>
      <c r="N69" s="1"/>
      <c r="O69" s="5"/>
      <c r="P69" s="9" t="e">
        <f>STDEV($P$58:$P$67)</f>
        <v>#DIV/0!</v>
      </c>
      <c r="Q69" s="1"/>
      <c r="R69" s="5"/>
      <c r="S69" s="9" t="e">
        <f>STDEV($S$58:$S$67)</f>
        <v>#DIV/0!</v>
      </c>
      <c r="T69" s="1"/>
      <c r="U69" s="1"/>
    </row>
    <row r="70" spans="1:21" ht="21" x14ac:dyDescent="0.35">
      <c r="A70" s="2"/>
      <c r="B70" s="2"/>
      <c r="C70" s="42"/>
      <c r="D70" s="9"/>
      <c r="E70" s="1"/>
      <c r="F70" s="5"/>
      <c r="G70" s="9"/>
      <c r="H70" s="1"/>
      <c r="I70" s="1"/>
      <c r="J70" s="9"/>
      <c r="K70" s="1"/>
      <c r="L70" s="5"/>
      <c r="M70" s="9"/>
      <c r="N70" s="1"/>
      <c r="O70" s="1"/>
      <c r="P70" s="1"/>
      <c r="Q70" s="1"/>
      <c r="R70" s="1"/>
      <c r="S70" s="1"/>
      <c r="T70" s="1"/>
      <c r="U70" s="1"/>
    </row>
    <row r="71" spans="1:21" ht="21" x14ac:dyDescent="0.35">
      <c r="A71" s="2"/>
      <c r="B71" s="2"/>
      <c r="C71" s="42"/>
      <c r="D71" s="9"/>
      <c r="E71" s="1"/>
      <c r="F71" s="5"/>
      <c r="G71" s="9"/>
      <c r="H71" s="1"/>
      <c r="I71" s="1"/>
      <c r="J71" s="9"/>
      <c r="K71" s="1"/>
      <c r="L71" s="5"/>
      <c r="M71" s="9"/>
      <c r="N71" s="1"/>
      <c r="O71" s="1"/>
      <c r="P71" s="1"/>
      <c r="Q71" s="1"/>
      <c r="R71" s="1"/>
      <c r="S71" s="1"/>
      <c r="T71" s="1"/>
      <c r="U71" s="1"/>
    </row>
    <row r="72" spans="1:21" ht="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ht="21" x14ac:dyDescent="0.2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ht="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66" x14ac:dyDescent="0.35">
      <c r="A75" s="6">
        <f>A8</f>
        <v>1</v>
      </c>
      <c r="B75" s="38">
        <f>B8</f>
        <v>651201141</v>
      </c>
      <c r="C75" s="39" t="str">
        <f>C8</f>
        <v>นางสาวเนตรนภา วงศ์ศรีแก้ว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44" x14ac:dyDescent="0.35">
      <c r="A76" s="6">
        <f t="shared" ref="A76:C84" si="51">A9</f>
        <v>2</v>
      </c>
      <c r="B76" s="38">
        <f t="shared" si="51"/>
        <v>651201142</v>
      </c>
      <c r="C76" s="39" t="str">
        <f t="shared" si="51"/>
        <v>นางสาวเบญจวรรณ พั่วพันศรี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44" x14ac:dyDescent="0.35">
      <c r="A77" s="6">
        <f t="shared" si="51"/>
        <v>3</v>
      </c>
      <c r="B77" s="38">
        <f t="shared" si="51"/>
        <v>651201143</v>
      </c>
      <c r="C77" s="39" t="str">
        <f t="shared" si="51"/>
        <v>นางสาวปนัดดา ไชยทองศรี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44" x14ac:dyDescent="0.35">
      <c r="A78" s="6">
        <f t="shared" si="51"/>
        <v>4</v>
      </c>
      <c r="B78" s="38">
        <f t="shared" si="51"/>
        <v>651201144</v>
      </c>
      <c r="C78" s="39" t="str">
        <f t="shared" si="51"/>
        <v>นางสาวปนัดดา ริกำแง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44" x14ac:dyDescent="0.35">
      <c r="A79" s="6">
        <f t="shared" si="51"/>
        <v>5</v>
      </c>
      <c r="B79" s="38">
        <f t="shared" si="51"/>
        <v>651201145</v>
      </c>
      <c r="C79" s="39" t="str">
        <f t="shared" si="51"/>
        <v>นางสาวประภาพร เชิดชู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44" x14ac:dyDescent="0.35">
      <c r="A80" s="6">
        <f t="shared" si="51"/>
        <v>6</v>
      </c>
      <c r="B80" s="38">
        <f t="shared" si="51"/>
        <v>651201146</v>
      </c>
      <c r="C80" s="39" t="str">
        <f t="shared" si="51"/>
        <v>นางสาวปรีดานนั ต์ ลือพรม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44" x14ac:dyDescent="0.35">
      <c r="A81" s="6">
        <f t="shared" si="51"/>
        <v>7</v>
      </c>
      <c r="B81" s="38">
        <f t="shared" si="51"/>
        <v>651201147</v>
      </c>
      <c r="C81" s="39" t="str">
        <f t="shared" si="51"/>
        <v>นางสาวปัญญาพร แสงวงศ์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44" x14ac:dyDescent="0.35">
      <c r="A82" s="6">
        <f t="shared" si="51"/>
        <v>8</v>
      </c>
      <c r="B82" s="38">
        <f t="shared" si="51"/>
        <v>651201148</v>
      </c>
      <c r="C82" s="39" t="str">
        <f t="shared" si="51"/>
        <v>นางสาวปัญฑิษา วังวิวัฒน์ขจร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ht="21" x14ac:dyDescent="0.35">
      <c r="A83" s="6">
        <f t="shared" si="51"/>
        <v>9</v>
      </c>
      <c r="B83" s="38">
        <f t="shared" si="51"/>
        <v>0</v>
      </c>
      <c r="C83" s="39">
        <f t="shared" si="51"/>
        <v>0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ht="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ht="21" x14ac:dyDescent="0.35">
      <c r="A85" s="2"/>
      <c r="B85" s="2"/>
      <c r="C85" s="42" t="s">
        <v>13</v>
      </c>
      <c r="D85" s="9" t="e">
        <f>AVERAGE($D$75:$D$84)</f>
        <v>#DIV/0!</v>
      </c>
      <c r="E85" s="1"/>
      <c r="F85" s="1"/>
      <c r="G85" s="9" t="e">
        <f>AVERAGE($G$75:$G$84)</f>
        <v>#DIV/0!</v>
      </c>
      <c r="H85" s="1"/>
      <c r="I85" s="1"/>
      <c r="J85" s="9" t="e">
        <f>AVERAGE($J$75:$J$84)</f>
        <v>#DIV/0!</v>
      </c>
      <c r="K85" s="1"/>
      <c r="L85" s="1"/>
      <c r="M85" s="9" t="e">
        <f>AVERAGE($M$75:$M$84)</f>
        <v>#DIV/0!</v>
      </c>
      <c r="N85" s="1"/>
      <c r="O85" s="1"/>
      <c r="P85" s="9" t="e">
        <f>AVERAGE($P$75:$P$84)</f>
        <v>#DIV/0!</v>
      </c>
      <c r="Q85" s="1"/>
      <c r="R85" s="1"/>
      <c r="S85" s="9" t="e">
        <f>AVERAGE($S$75:$S$84)</f>
        <v>#DIV/0!</v>
      </c>
      <c r="T85" s="1"/>
      <c r="U85" s="1"/>
    </row>
    <row r="86" spans="1:21" ht="21" x14ac:dyDescent="0.35">
      <c r="A86" s="2"/>
      <c r="B86" s="2"/>
      <c r="C86" s="42" t="s">
        <v>14</v>
      </c>
      <c r="D86" s="9" t="e">
        <f>STDEV($D$75:$D$84)</f>
        <v>#DIV/0!</v>
      </c>
      <c r="E86" s="1"/>
      <c r="F86" s="5"/>
      <c r="G86" s="9" t="e">
        <f>STDEV($G$75:$G$84)</f>
        <v>#DIV/0!</v>
      </c>
      <c r="H86" s="1"/>
      <c r="I86" s="1"/>
      <c r="J86" s="9" t="e">
        <f>STDEV(J75:J84)</f>
        <v>#DIV/0!</v>
      </c>
      <c r="K86" s="1"/>
      <c r="L86" s="5"/>
      <c r="M86" s="9" t="e">
        <f>STDEV($M$75:$M$84)</f>
        <v>#DIV/0!</v>
      </c>
      <c r="N86" s="1"/>
      <c r="O86" s="1"/>
      <c r="P86" s="9" t="e">
        <f>STDEV(P75:P84)</f>
        <v>#DIV/0!</v>
      </c>
      <c r="Q86" s="1"/>
      <c r="R86" s="1"/>
      <c r="S86" s="9" t="e">
        <f>STDEV($S$75:$S$84)</f>
        <v>#DIV/0!</v>
      </c>
      <c r="T86" s="1"/>
      <c r="U86" s="1"/>
    </row>
    <row r="87" spans="1:21" ht="21" x14ac:dyDescent="0.35">
      <c r="A87" s="2"/>
      <c r="B87" s="2"/>
      <c r="C87" s="42"/>
      <c r="D87" s="9"/>
      <c r="E87" s="1"/>
      <c r="F87" s="5"/>
      <c r="G87" s="9"/>
      <c r="H87" s="1"/>
      <c r="I87" s="1"/>
      <c r="J87" s="9"/>
      <c r="K87" s="1"/>
      <c r="L87" s="5"/>
      <c r="M87" s="9"/>
      <c r="N87" s="1"/>
      <c r="O87" s="1"/>
      <c r="P87" s="1" t="s">
        <v>2</v>
      </c>
      <c r="Q87" s="1"/>
      <c r="R87" s="1"/>
      <c r="S87" s="1"/>
      <c r="T87" s="1"/>
      <c r="U87" s="1"/>
    </row>
    <row r="88" spans="1:21" ht="21" x14ac:dyDescent="0.35">
      <c r="A88" s="2"/>
      <c r="B88" s="2"/>
      <c r="C88" s="42"/>
      <c r="D88" s="9"/>
      <c r="E88" s="1"/>
      <c r="F88" s="5"/>
      <c r="G88" s="9"/>
      <c r="H88" s="1"/>
      <c r="I88" s="1"/>
      <c r="J88" s="9"/>
      <c r="K88" s="1"/>
      <c r="L88" s="5"/>
      <c r="M88" s="9"/>
      <c r="N88" s="1"/>
      <c r="O88" s="1"/>
      <c r="P88" s="1"/>
      <c r="Q88" s="1"/>
      <c r="R88" s="1"/>
      <c r="S88" s="1"/>
      <c r="T88" s="1"/>
      <c r="U88" s="1"/>
    </row>
    <row r="89" spans="1:21" ht="21" x14ac:dyDescent="0.35">
      <c r="A89" s="2"/>
      <c r="B89" s="85" t="s">
        <v>148</v>
      </c>
      <c r="C89" s="42"/>
      <c r="D89" s="9"/>
      <c r="E89" s="1"/>
      <c r="F89" s="5"/>
      <c r="G89" s="9"/>
      <c r="H89" s="1"/>
      <c r="I89" s="1"/>
      <c r="J89" s="9"/>
      <c r="K89" s="1"/>
      <c r="L89" s="5"/>
      <c r="M89" s="9"/>
      <c r="N89" s="1"/>
      <c r="O89" s="1"/>
      <c r="P89" s="9"/>
      <c r="Q89" s="1"/>
      <c r="R89" s="1"/>
      <c r="S89" s="1"/>
      <c r="T89" s="1"/>
      <c r="U89" s="1"/>
    </row>
    <row r="90" spans="1:21" ht="21" x14ac:dyDescent="0.35">
      <c r="A90" s="2"/>
      <c r="B90" s="2"/>
      <c r="C90" s="42"/>
      <c r="D90" s="9"/>
      <c r="E90" s="1"/>
      <c r="F90" s="5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L91" s="1"/>
      <c r="M91" s="1"/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  <c r="U91" s="1"/>
    </row>
    <row r="92" spans="1:21" ht="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2</v>
      </c>
      <c r="K92" s="7">
        <f>ROUND((J92*100)/$J$101,2)</f>
        <v>25</v>
      </c>
      <c r="L92" s="1"/>
      <c r="M92" s="1"/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  <c r="U92" s="1"/>
    </row>
    <row r="93" spans="1:21" ht="21" x14ac:dyDescent="0.35">
      <c r="A93" s="6">
        <f>A8</f>
        <v>1</v>
      </c>
      <c r="B93" s="6">
        <f t="shared" ref="B93:C93" si="64">B8</f>
        <v>651201141</v>
      </c>
      <c r="C93" s="78" t="str">
        <f t="shared" si="64"/>
        <v>นางสาวเนตรนภา วงศ์ศรีแก้ว</v>
      </c>
      <c r="D93" s="3">
        <f>ROUND(SUM(E8,H8,K8,N8,Q8,T8,E24,H24,K24,N24,Q24,T24,E41,H41,K41,N41,Q41,T41,E58,H58,K58,N58,Q58,T58,E75,H75,K75,N75,Q75,T75),2)</f>
        <v>84.03</v>
      </c>
      <c r="E93" s="8">
        <f>ROUND(SUM(F8,I8,L8,O8,R8,U8,F24,I24,L24,O24,R24,U24,F41,I41,L41,O41,R41,U41,F58,I58,L58,O58,R58,U58,F75,I75,L75,O75,R75,U75),2)</f>
        <v>551.02</v>
      </c>
      <c r="F93" s="204" t="str">
        <f t="shared" ref="F93:F102" si="65">IF(D93=0,"-",IF(D93&gt;=$R$92,$T$92,IF(D93&gt;=$R$93,$T$93,IF(D93&gt;=$R$94,$T$94,IF(D93&gt;=$R$95,$T$95,IF(D93&gt;=$R$96,$T$96,$T$97))))))</f>
        <v>B+</v>
      </c>
      <c r="G93" s="204"/>
      <c r="H93" s="80"/>
      <c r="I93" s="81" t="s">
        <v>111</v>
      </c>
      <c r="J93" s="77">
        <f t="shared" ref="J93:J100" si="66">COUNTIF($F$93:$G$102,I93)</f>
        <v>3</v>
      </c>
      <c r="K93" s="7">
        <f t="shared" ref="K93:K101" si="67">ROUND((J93*100)/$J$101,2)</f>
        <v>37.5</v>
      </c>
      <c r="L93" s="1"/>
      <c r="M93" s="1"/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  <c r="U93" s="1"/>
    </row>
    <row r="94" spans="1:21" ht="21" x14ac:dyDescent="0.35">
      <c r="A94" s="6">
        <f t="shared" ref="A94:C102" si="68">A9</f>
        <v>2</v>
      </c>
      <c r="B94" s="6">
        <f t="shared" si="68"/>
        <v>651201142</v>
      </c>
      <c r="C94" s="78" t="str">
        <f t="shared" si="68"/>
        <v>นางสาวเบญจวรรณ พั่วพันศรี</v>
      </c>
      <c r="D94" s="3">
        <f t="shared" ref="D94:E102" si="69">ROUND(SUM(E9,H9,K9,N9,Q9,T9,E25,H25,K25,N25,Q25,T25,E42,H42,K42,N42,Q42,T42,E59,H59,K59,N59,Q59,T59,E76,H76,K76,N76,Q76,T76),2)</f>
        <v>88.95</v>
      </c>
      <c r="E94" s="8">
        <f t="shared" si="69"/>
        <v>630.11</v>
      </c>
      <c r="F94" s="204" t="str">
        <f t="shared" si="65"/>
        <v>A</v>
      </c>
      <c r="G94" s="204"/>
      <c r="H94" s="80"/>
      <c r="I94" s="77" t="s">
        <v>110</v>
      </c>
      <c r="J94" s="77">
        <f t="shared" si="66"/>
        <v>3</v>
      </c>
      <c r="K94" s="7">
        <f t="shared" si="67"/>
        <v>37.5</v>
      </c>
      <c r="L94" s="1"/>
      <c r="M94" s="1"/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  <c r="U94" s="1"/>
    </row>
    <row r="95" spans="1:21" ht="21" x14ac:dyDescent="0.35">
      <c r="A95" s="6">
        <f t="shared" si="68"/>
        <v>3</v>
      </c>
      <c r="B95" s="6">
        <f t="shared" si="68"/>
        <v>651201143</v>
      </c>
      <c r="C95" s="78" t="str">
        <f t="shared" si="68"/>
        <v>นางสาวปนัดดา ไชยทองศรี</v>
      </c>
      <c r="D95" s="3">
        <f t="shared" si="69"/>
        <v>87.76</v>
      </c>
      <c r="E95" s="8">
        <f t="shared" si="69"/>
        <v>608.65</v>
      </c>
      <c r="F95" s="204" t="str">
        <f t="shared" si="65"/>
        <v>A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L95" s="1"/>
      <c r="M95" s="1"/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  <c r="U95" s="1"/>
    </row>
    <row r="96" spans="1:21" ht="21" x14ac:dyDescent="0.35">
      <c r="A96" s="6">
        <f t="shared" si="68"/>
        <v>4</v>
      </c>
      <c r="B96" s="6">
        <f t="shared" si="68"/>
        <v>651201144</v>
      </c>
      <c r="C96" s="78" t="str">
        <f t="shared" si="68"/>
        <v>นางสาวปนัดดา ริกำแง</v>
      </c>
      <c r="D96" s="3">
        <f t="shared" si="69"/>
        <v>83.27</v>
      </c>
      <c r="E96" s="8">
        <f t="shared" si="69"/>
        <v>550.13</v>
      </c>
      <c r="F96" s="204" t="str">
        <f t="shared" si="65"/>
        <v>B+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L96" s="1"/>
      <c r="M96" s="1"/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  <c r="U96" s="1"/>
    </row>
    <row r="97" spans="1:21" ht="21" x14ac:dyDescent="0.35">
      <c r="A97" s="6">
        <f t="shared" si="68"/>
        <v>5</v>
      </c>
      <c r="B97" s="6">
        <f t="shared" si="68"/>
        <v>651201145</v>
      </c>
      <c r="C97" s="78" t="str">
        <f t="shared" si="68"/>
        <v>นางสาวประภาพร เชิดชู</v>
      </c>
      <c r="D97" s="3">
        <f t="shared" si="69"/>
        <v>77.680000000000007</v>
      </c>
      <c r="E97" s="8">
        <f t="shared" si="69"/>
        <v>440.55</v>
      </c>
      <c r="F97" s="204" t="str">
        <f t="shared" si="65"/>
        <v>B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L97" s="1"/>
      <c r="M97" s="1"/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  <c r="U97" s="1"/>
    </row>
    <row r="98" spans="1:21" ht="21" x14ac:dyDescent="0.35">
      <c r="A98" s="6">
        <f t="shared" si="68"/>
        <v>6</v>
      </c>
      <c r="B98" s="6">
        <f t="shared" si="68"/>
        <v>651201146</v>
      </c>
      <c r="C98" s="78" t="str">
        <f t="shared" si="68"/>
        <v>นางสาวปรีดานนั ต์ ลือพรม</v>
      </c>
      <c r="D98" s="3">
        <f t="shared" si="69"/>
        <v>78.69</v>
      </c>
      <c r="E98" s="8">
        <f t="shared" si="69"/>
        <v>457.47</v>
      </c>
      <c r="F98" s="204" t="str">
        <f t="shared" si="65"/>
        <v>B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  <c r="S98" s="1"/>
      <c r="T98" s="1"/>
      <c r="U98" s="1"/>
    </row>
    <row r="99" spans="1:21" ht="21" x14ac:dyDescent="0.35">
      <c r="A99" s="6">
        <f t="shared" si="68"/>
        <v>7</v>
      </c>
      <c r="B99" s="6">
        <f t="shared" si="68"/>
        <v>651201147</v>
      </c>
      <c r="C99" s="78" t="str">
        <f t="shared" si="68"/>
        <v>นางสาวปัญญาพร แสงวงศ์</v>
      </c>
      <c r="D99" s="3">
        <f t="shared" si="69"/>
        <v>76.53</v>
      </c>
      <c r="E99" s="8">
        <f t="shared" si="69"/>
        <v>436.92</v>
      </c>
      <c r="F99" s="204" t="str">
        <f t="shared" si="65"/>
        <v>B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  <c r="S99" s="1"/>
      <c r="T99" s="1"/>
      <c r="U99" s="1"/>
    </row>
    <row r="100" spans="1:21" ht="21" x14ac:dyDescent="0.35">
      <c r="A100" s="6">
        <f t="shared" si="68"/>
        <v>8</v>
      </c>
      <c r="B100" s="6">
        <f t="shared" si="68"/>
        <v>651201148</v>
      </c>
      <c r="C100" s="78" t="str">
        <f t="shared" si="68"/>
        <v>นางสาวปัญฑิษา วังวิวัฒน์ขจร</v>
      </c>
      <c r="D100" s="3">
        <f t="shared" si="69"/>
        <v>83.76</v>
      </c>
      <c r="E100" s="8">
        <f t="shared" si="69"/>
        <v>533.15</v>
      </c>
      <c r="F100" s="204" t="str">
        <f t="shared" si="65"/>
        <v>B+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  <c r="S100" s="1"/>
      <c r="T100" s="1"/>
      <c r="U100" s="1"/>
    </row>
    <row r="101" spans="1:21" ht="21" x14ac:dyDescent="0.35">
      <c r="A101" s="6">
        <f t="shared" si="68"/>
        <v>9</v>
      </c>
      <c r="B101" s="6">
        <f t="shared" si="68"/>
        <v>0</v>
      </c>
      <c r="C101" s="78">
        <f t="shared" si="68"/>
        <v>0</v>
      </c>
      <c r="D101" s="3">
        <f t="shared" si="69"/>
        <v>0</v>
      </c>
      <c r="E101" s="8">
        <f t="shared" si="69"/>
        <v>0</v>
      </c>
      <c r="F101" s="204" t="str">
        <f t="shared" si="65"/>
        <v>-</v>
      </c>
      <c r="G101" s="204"/>
      <c r="H101" s="80"/>
      <c r="I101" s="83" t="s">
        <v>1</v>
      </c>
      <c r="J101" s="83">
        <f>SUM(J92:J100)</f>
        <v>8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  <c r="S101" s="1"/>
      <c r="T101" s="1"/>
      <c r="U101" s="1"/>
    </row>
    <row r="102" spans="1:21" ht="21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 x14ac:dyDescent="0.35">
      <c r="A103" s="2"/>
      <c r="B103" s="2"/>
      <c r="C103" s="79"/>
      <c r="D103" s="19"/>
      <c r="E103" s="19"/>
      <c r="F103" s="42"/>
      <c r="G103" s="42"/>
      <c r="H103" s="42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 x14ac:dyDescent="0.35">
      <c r="A104" s="2"/>
      <c r="B104" s="2"/>
      <c r="C104" s="2"/>
      <c r="D104" s="1"/>
      <c r="E104" s="1"/>
      <c r="F104" s="1"/>
      <c r="G104" s="1"/>
      <c r="H104" s="1"/>
      <c r="I104" s="45"/>
      <c r="J104" s="4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 x14ac:dyDescent="0.35">
      <c r="A105" s="2"/>
      <c r="B105" s="85" t="s">
        <v>147</v>
      </c>
      <c r="C105" s="2"/>
      <c r="D105" s="1"/>
      <c r="E105" s="1"/>
      <c r="F105" s="1"/>
      <c r="G105" s="1"/>
      <c r="H105" s="1"/>
      <c r="I105" s="45"/>
      <c r="J105" s="45"/>
      <c r="K105" s="45"/>
      <c r="L105" s="1" t="s">
        <v>2</v>
      </c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H106" s="1"/>
      <c r="I106" s="5" t="s">
        <v>38</v>
      </c>
      <c r="J106" s="9"/>
      <c r="K106" s="1"/>
      <c r="L106" s="5"/>
      <c r="M106" s="1"/>
      <c r="N106" s="1"/>
      <c r="O106" s="5" t="s">
        <v>39</v>
      </c>
      <c r="P106" s="1"/>
      <c r="Q106" s="9"/>
      <c r="R106" s="1"/>
      <c r="S106" s="1"/>
      <c r="T106" s="1"/>
      <c r="U106" s="1"/>
    </row>
    <row r="107" spans="1:21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H107" s="1"/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N107" s="1"/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  <c r="U107" s="1"/>
    </row>
    <row r="108" spans="1:21" ht="21" x14ac:dyDescent="0.35">
      <c r="A108" s="6">
        <f>A8</f>
        <v>1</v>
      </c>
      <c r="B108" s="6">
        <f t="shared" ref="B108:C108" si="70">B8</f>
        <v>651201141</v>
      </c>
      <c r="C108" s="78" t="str">
        <f t="shared" si="70"/>
        <v>นางสาวเนตรนภา วงศ์ศรีแก้ว</v>
      </c>
      <c r="D108" s="3">
        <f>ROUND(SUM(E8,H8,K8,N8,Q8,T8,E24,H24,K24,N24,Q24,T24,E41,H41,K41,N41,Q41,T41,E58,H58,K58,N58,Q58,T58,E75,H75,K75,N75,Q75,T75),2)</f>
        <v>84.03</v>
      </c>
      <c r="E108" s="3">
        <f>ROUND(SUM(F8,I8,L8,O8,R8,U8,F24,I24,L24,O24,R24,U24,F41,I41,L41,O41,R41,U41,F58,I58,L58,O58,R58,U58,F75,I75,L75,O75,R75,U75),2)</f>
        <v>551.02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B+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H108" s="1"/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N108" s="1"/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  <c r="U108" s="1"/>
    </row>
    <row r="109" spans="1:21" ht="21" x14ac:dyDescent="0.35">
      <c r="A109" s="6">
        <f t="shared" ref="A109:C117" si="72">A9</f>
        <v>2</v>
      </c>
      <c r="B109" s="6">
        <f t="shared" si="72"/>
        <v>651201142</v>
      </c>
      <c r="C109" s="78" t="str">
        <f t="shared" si="72"/>
        <v>นางสาวเบญจวรรณ พั่วพันศรี</v>
      </c>
      <c r="D109" s="3">
        <f t="shared" ref="D109:E117" si="73">ROUND(SUM(E9,H9,K9,N9,Q9,T9,E25,H25,K25,N25,Q25,T25,E42,H42,K42,N42,Q42,T42,E59,H59,K59,N59,Q59,T59,E76,H76,K76,N76,Q76,T76),2)</f>
        <v>88.95</v>
      </c>
      <c r="E109" s="3">
        <f t="shared" si="73"/>
        <v>630.11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A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H109" s="1"/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N109" s="1"/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  <c r="U109" s="1"/>
    </row>
    <row r="110" spans="1:21" ht="21" x14ac:dyDescent="0.35">
      <c r="A110" s="6">
        <f t="shared" si="72"/>
        <v>3</v>
      </c>
      <c r="B110" s="6">
        <f t="shared" si="72"/>
        <v>651201143</v>
      </c>
      <c r="C110" s="78" t="str">
        <f t="shared" si="72"/>
        <v>นางสาวปนัดดา ไชยทองศรี</v>
      </c>
      <c r="D110" s="3">
        <f t="shared" si="73"/>
        <v>87.76</v>
      </c>
      <c r="E110" s="3">
        <f t="shared" si="73"/>
        <v>608.65</v>
      </c>
      <c r="F110" s="7" t="str">
        <f t="shared" si="74"/>
        <v>B+</v>
      </c>
      <c r="G110" s="7" t="str">
        <f t="shared" si="75"/>
        <v>-</v>
      </c>
      <c r="H110" s="1"/>
      <c r="I110" s="47">
        <f>IF(OR($E$128=8,$E$128=6,$E$128=4),$J$111+0.01,"-")</f>
        <v>625.1</v>
      </c>
      <c r="J110" s="47">
        <f>IF(OR($E$128=8,$E$128=6,$E$128=4),$I$110+$E$129,"-")</f>
        <v>782.63</v>
      </c>
      <c r="K110" s="91">
        <f t="shared" si="76"/>
        <v>157.52999999999997</v>
      </c>
      <c r="L110" s="7" t="str">
        <f>IF($E$128=8,$C$126,IF($E$128=6,$C$125,IF($E$128=4,$C$124,"-")))</f>
        <v>A</v>
      </c>
      <c r="M110" s="27">
        <f t="shared" si="77"/>
        <v>1</v>
      </c>
      <c r="N110" s="1"/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  <c r="U110" s="1"/>
    </row>
    <row r="111" spans="1:21" ht="21" x14ac:dyDescent="0.35">
      <c r="A111" s="6">
        <f t="shared" si="72"/>
        <v>4</v>
      </c>
      <c r="B111" s="6">
        <f t="shared" si="72"/>
        <v>651201144</v>
      </c>
      <c r="C111" s="78" t="str">
        <f t="shared" si="72"/>
        <v>นางสาวปนัดดา ริกำแง</v>
      </c>
      <c r="D111" s="3">
        <f t="shared" si="73"/>
        <v>83.27</v>
      </c>
      <c r="E111" s="3">
        <f t="shared" si="73"/>
        <v>550.13</v>
      </c>
      <c r="F111" s="7" t="str">
        <f t="shared" si="74"/>
        <v>B+</v>
      </c>
      <c r="G111" s="7" t="str">
        <f t="shared" si="75"/>
        <v>-</v>
      </c>
      <c r="H111" s="1"/>
      <c r="I111" s="88">
        <f>IF(OR($E$128=2,$E$128=4,$E$128=6,$E$128=8),$E$124,"-")</f>
        <v>467.56</v>
      </c>
      <c r="J111" s="61">
        <f>IF(OR($E$128=2,$E$128=4,$E$128=6,$E$128=8),$E$124+E129,"-")</f>
        <v>625.09</v>
      </c>
      <c r="K111" s="91">
        <f t="shared" si="76"/>
        <v>157.53000000000003</v>
      </c>
      <c r="L111" s="7" t="str">
        <f>IF($E$128=8,$C$127,IF($E$128=6,$C$126,IF($E$128=4,$C$125,IF($E$128=2,$C$124,"-"))))</f>
        <v>B+</v>
      </c>
      <c r="M111" s="27">
        <f t="shared" si="77"/>
        <v>4</v>
      </c>
      <c r="N111" s="1"/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  <c r="U111" s="1"/>
    </row>
    <row r="112" spans="1:21" ht="21" x14ac:dyDescent="0.35">
      <c r="A112" s="6">
        <f t="shared" si="72"/>
        <v>5</v>
      </c>
      <c r="B112" s="6">
        <f t="shared" si="72"/>
        <v>651201145</v>
      </c>
      <c r="C112" s="78" t="str">
        <f t="shared" si="72"/>
        <v>นางสาวประภาพร เชิดชู</v>
      </c>
      <c r="D112" s="3">
        <f t="shared" si="73"/>
        <v>77.680000000000007</v>
      </c>
      <c r="E112" s="3">
        <f t="shared" si="73"/>
        <v>440.55</v>
      </c>
      <c r="F112" s="7" t="str">
        <f t="shared" si="74"/>
        <v>B</v>
      </c>
      <c r="G112" s="7" t="str">
        <f t="shared" si="75"/>
        <v>-</v>
      </c>
      <c r="H112" s="1"/>
      <c r="I112" s="47">
        <f>IF(OR($E$128=2,$E$128=4,$E$128=6,$E$128=8),$J$112-$E$129,"-")</f>
        <v>310.02</v>
      </c>
      <c r="J112" s="61">
        <f>IF(OR($E$128=2,$E$128=4,$E$128=6,$E$128=8),$E$124-0.01,"-")</f>
        <v>467.55</v>
      </c>
      <c r="K112" s="91">
        <f t="shared" si="76"/>
        <v>157.53000000000003</v>
      </c>
      <c r="L112" s="7" t="str">
        <f>IF($E$128=8,$C$128,IF($E$128=6,$C$127,IF($E$128=4,$C$126,IF($E$128=2,$C$125,"-"))))</f>
        <v>B</v>
      </c>
      <c r="M112" s="27">
        <f t="shared" si="77"/>
        <v>3</v>
      </c>
      <c r="N112" s="1"/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  <c r="U112" s="1"/>
    </row>
    <row r="113" spans="1:21" ht="21" x14ac:dyDescent="0.35">
      <c r="A113" s="6">
        <f t="shared" si="72"/>
        <v>6</v>
      </c>
      <c r="B113" s="6">
        <f t="shared" si="72"/>
        <v>651201146</v>
      </c>
      <c r="C113" s="78" t="str">
        <f t="shared" si="72"/>
        <v>นางสาวปรีดานนั ต์ ลือพรม</v>
      </c>
      <c r="D113" s="3">
        <f t="shared" si="73"/>
        <v>78.69</v>
      </c>
      <c r="E113" s="3">
        <f t="shared" si="73"/>
        <v>457.47</v>
      </c>
      <c r="F113" s="7" t="str">
        <f t="shared" si="74"/>
        <v>B</v>
      </c>
      <c r="G113" s="7" t="str">
        <f t="shared" si="75"/>
        <v>-</v>
      </c>
      <c r="H113" s="1"/>
      <c r="I113" s="47">
        <f>IF(OR($E$128=4,$E$128=6,$E$128=8),$J$113-$E$129,"-")</f>
        <v>152.47999999999999</v>
      </c>
      <c r="J113" s="47">
        <f>IF(OR($E$128=8,$E$128=6,$E$128=4),$I$112-0.01,"-")</f>
        <v>310.01</v>
      </c>
      <c r="K113" s="91">
        <f t="shared" si="76"/>
        <v>157.53</v>
      </c>
      <c r="L113" s="7" t="str">
        <f>IF($E$128=8,$C$129,IF($E$128=6,$C$128,IF($E$128=4,$C$127,"-")))</f>
        <v>C+</v>
      </c>
      <c r="M113" s="27">
        <f t="shared" si="77"/>
        <v>0</v>
      </c>
      <c r="N113" s="1"/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  <c r="U113" s="1"/>
    </row>
    <row r="114" spans="1:21" ht="22" thickBot="1" x14ac:dyDescent="0.4">
      <c r="A114" s="6">
        <f t="shared" si="72"/>
        <v>7</v>
      </c>
      <c r="B114" s="6">
        <f t="shared" si="72"/>
        <v>651201147</v>
      </c>
      <c r="C114" s="78" t="str">
        <f t="shared" si="72"/>
        <v>นางสาวปัญญาพร แสงวงศ์</v>
      </c>
      <c r="D114" s="3">
        <f t="shared" si="73"/>
        <v>76.53</v>
      </c>
      <c r="E114" s="3">
        <f t="shared" si="73"/>
        <v>436.92</v>
      </c>
      <c r="F114" s="7" t="str">
        <f t="shared" si="74"/>
        <v>B</v>
      </c>
      <c r="G114" s="7" t="str">
        <f t="shared" si="75"/>
        <v>-</v>
      </c>
      <c r="H114" s="1"/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N114" s="1"/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  <c r="U114" s="1"/>
    </row>
    <row r="115" spans="1:21" ht="22" thickBot="1" x14ac:dyDescent="0.4">
      <c r="A115" s="6">
        <f t="shared" si="72"/>
        <v>8</v>
      </c>
      <c r="B115" s="6">
        <f t="shared" si="72"/>
        <v>651201148</v>
      </c>
      <c r="C115" s="78" t="str">
        <f t="shared" si="72"/>
        <v>นางสาวปัญฑิษา วังวิวัฒน์ขจร</v>
      </c>
      <c r="D115" s="3">
        <f t="shared" si="73"/>
        <v>83.76</v>
      </c>
      <c r="E115" s="3">
        <f t="shared" si="73"/>
        <v>533.15</v>
      </c>
      <c r="F115" s="7" t="str">
        <f t="shared" si="74"/>
        <v>B+</v>
      </c>
      <c r="G115" s="7" t="str">
        <f t="shared" si="75"/>
        <v>-</v>
      </c>
      <c r="H115" s="1"/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N115" s="1"/>
      <c r="O115" s="259" t="s">
        <v>1</v>
      </c>
      <c r="P115" s="259"/>
      <c r="Q115" s="259"/>
      <c r="R115" s="259"/>
      <c r="S115" s="259"/>
      <c r="T115" s="94">
        <f>SUM(T108:T114)</f>
        <v>0</v>
      </c>
      <c r="U115" s="1"/>
    </row>
    <row r="116" spans="1:21" ht="22" thickBot="1" x14ac:dyDescent="0.4">
      <c r="A116" s="6">
        <f t="shared" si="72"/>
        <v>9</v>
      </c>
      <c r="B116" s="6">
        <f t="shared" si="72"/>
        <v>0</v>
      </c>
      <c r="C116" s="78">
        <f t="shared" si="72"/>
        <v>0</v>
      </c>
      <c r="D116" s="3">
        <f t="shared" si="73"/>
        <v>0</v>
      </c>
      <c r="E116" s="3">
        <f t="shared" si="73"/>
        <v>0</v>
      </c>
      <c r="F116" s="7" t="str">
        <f t="shared" si="74"/>
        <v>I/E</v>
      </c>
      <c r="G116" s="7" t="str">
        <f t="shared" si="75"/>
        <v>-</v>
      </c>
      <c r="H116" s="1"/>
      <c r="I116" s="218" t="s">
        <v>1</v>
      </c>
      <c r="J116" s="219"/>
      <c r="K116" s="219"/>
      <c r="L116" s="220"/>
      <c r="M116" s="94">
        <f>SUM(M108:M115)</f>
        <v>8</v>
      </c>
      <c r="N116" s="1"/>
      <c r="O116" s="1"/>
      <c r="P116" s="1"/>
      <c r="Q116" s="1"/>
      <c r="R116" s="1"/>
      <c r="S116" s="1"/>
      <c r="T116" s="1"/>
      <c r="U116" s="1"/>
    </row>
    <row r="117" spans="1:21" ht="21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 x14ac:dyDescent="0.35">
      <c r="A118" s="2"/>
      <c r="B118" s="2"/>
      <c r="C118" s="79"/>
      <c r="D118" s="9"/>
      <c r="E118" s="9"/>
      <c r="F118" s="42"/>
      <c r="G118" s="4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 x14ac:dyDescent="0.35">
      <c r="A119" s="2"/>
      <c r="B119" s="2"/>
      <c r="C119" s="79"/>
      <c r="D119" s="9"/>
      <c r="E119" s="9"/>
      <c r="F119" s="42"/>
      <c r="G119" s="4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 x14ac:dyDescent="0.35">
      <c r="A120" s="2"/>
      <c r="B120" s="2"/>
      <c r="C120" s="79"/>
      <c r="D120" s="9"/>
      <c r="E120" s="9"/>
      <c r="F120" s="42"/>
      <c r="G120" s="4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 x14ac:dyDescent="0.35">
      <c r="A121" s="2"/>
      <c r="B121" s="2"/>
      <c r="C121" s="79"/>
      <c r="D121" s="9"/>
      <c r="E121" s="9"/>
      <c r="F121" s="42"/>
      <c r="G121" s="4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 x14ac:dyDescent="0.35">
      <c r="A122" s="2"/>
      <c r="B122" s="2"/>
      <c r="C122" s="79"/>
      <c r="D122" s="9"/>
      <c r="E122" s="9"/>
      <c r="F122" s="42"/>
      <c r="G122" s="4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 x14ac:dyDescent="0.35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 x14ac:dyDescent="0.35">
      <c r="A124" s="2"/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467.56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 x14ac:dyDescent="0.35">
      <c r="A125" s="2"/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630.11</v>
      </c>
      <c r="F125" s="1"/>
      <c r="G125" s="1"/>
      <c r="H125" s="1"/>
      <c r="I125" s="1"/>
      <c r="J125" s="1"/>
      <c r="K125" s="1"/>
      <c r="L125" s="1"/>
      <c r="M125" s="1"/>
      <c r="N125" s="1"/>
      <c r="O125" s="1" t="s">
        <v>154</v>
      </c>
      <c r="P125" s="1"/>
      <c r="Q125" s="1"/>
      <c r="R125" s="1"/>
      <c r="S125" s="1"/>
      <c r="T125" s="1"/>
      <c r="U125" s="1"/>
    </row>
    <row r="126" spans="1:21" ht="21" x14ac:dyDescent="0.35">
      <c r="A126" s="2"/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>
        <v>1</v>
      </c>
      <c r="P126" s="1" t="s">
        <v>137</v>
      </c>
      <c r="Q126" s="1"/>
      <c r="R126" s="1"/>
      <c r="S126" s="1"/>
      <c r="T126" s="1"/>
      <c r="U126" s="1"/>
    </row>
    <row r="127" spans="1:21" ht="21" x14ac:dyDescent="0.35">
      <c r="A127" s="2"/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630.11</v>
      </c>
      <c r="F127" s="1"/>
      <c r="G127" s="1"/>
      <c r="H127" s="1"/>
      <c r="I127" s="1"/>
      <c r="J127" s="1"/>
      <c r="K127" s="1"/>
      <c r="L127" s="1"/>
      <c r="M127" s="1"/>
      <c r="N127" s="1"/>
      <c r="O127" s="1">
        <v>2</v>
      </c>
      <c r="P127" s="1" t="s">
        <v>155</v>
      </c>
      <c r="Q127" s="1"/>
      <c r="R127" s="1"/>
      <c r="S127" s="1"/>
      <c r="T127" s="1"/>
      <c r="U127" s="1"/>
    </row>
    <row r="128" spans="1:21" ht="21" x14ac:dyDescent="0.35">
      <c r="A128" s="2"/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G128" s="1"/>
      <c r="H128" s="1"/>
      <c r="I128" s="1"/>
      <c r="J128" s="1"/>
      <c r="K128" s="1"/>
      <c r="L128" s="1"/>
      <c r="M128" s="1"/>
      <c r="N128" s="1"/>
      <c r="O128" s="1">
        <v>3</v>
      </c>
      <c r="P128" s="1" t="s">
        <v>156</v>
      </c>
      <c r="Q128" s="1"/>
      <c r="R128" s="1"/>
      <c r="S128" s="1"/>
      <c r="T128" s="1"/>
      <c r="U128" s="1"/>
    </row>
    <row r="129" spans="1:21" ht="21" x14ac:dyDescent="0.35">
      <c r="A129" s="2"/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157.53</v>
      </c>
      <c r="F129" s="1"/>
      <c r="G129" s="1"/>
      <c r="H129" s="1"/>
      <c r="I129" s="1"/>
      <c r="J129" s="1"/>
      <c r="K129" s="1"/>
      <c r="L129" s="1"/>
      <c r="M129" s="1"/>
      <c r="N129" s="1"/>
      <c r="O129" s="202"/>
      <c r="P129" s="202"/>
      <c r="Q129" s="202"/>
      <c r="R129" s="202"/>
      <c r="S129" s="202"/>
      <c r="T129" s="1"/>
      <c r="U129" s="1"/>
    </row>
    <row r="130" spans="1:21" ht="21" x14ac:dyDescent="0.35">
      <c r="A130" s="2"/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G130" s="1"/>
      <c r="H130" s="1"/>
      <c r="I130" s="1"/>
      <c r="J130" s="1"/>
      <c r="K130" s="1"/>
      <c r="L130" s="1"/>
      <c r="M130" s="1"/>
      <c r="N130" s="1"/>
      <c r="O130" s="202"/>
      <c r="P130" s="202"/>
      <c r="Q130" s="202"/>
      <c r="R130" s="202"/>
      <c r="S130" s="202"/>
      <c r="T130" s="1"/>
      <c r="U130" s="1"/>
    </row>
    <row r="131" spans="1:21" ht="21" x14ac:dyDescent="0.35">
      <c r="A131" s="2"/>
      <c r="B131" s="6">
        <f>$B$124-3.5</f>
        <v>0.5</v>
      </c>
      <c r="C131" s="6" t="str">
        <f t="shared" si="80"/>
        <v>E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1"/>
      <c r="P131" s="221"/>
      <c r="Q131" s="221"/>
      <c r="R131" s="221"/>
      <c r="S131" s="221"/>
      <c r="T131" s="1"/>
      <c r="U131" s="1"/>
    </row>
    <row r="132" spans="1:21" ht="21" x14ac:dyDescent="0.35">
      <c r="A132" s="2"/>
      <c r="B132" s="6">
        <f>$B$124-4</f>
        <v>0</v>
      </c>
      <c r="C132" s="6" t="str">
        <f>IF(B132=4,"A",IF(B132=3.5,"B+",IF(B132=3,"B",IF(B132=2.5,"C+",IF(B132=2,"C",IF(B132=1.5,"D+",IF(B132=1,"D","E")))))))</f>
        <v>E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 x14ac:dyDescent="0.35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 x14ac:dyDescent="0.35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 x14ac:dyDescent="0.35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 x14ac:dyDescent="0.35">
      <c r="A136" s="2"/>
      <c r="B136" s="2"/>
      <c r="C136" s="256" t="s">
        <v>188</v>
      </c>
      <c r="D136" s="256"/>
      <c r="E136" s="256"/>
      <c r="F136" s="1"/>
      <c r="G136" s="1">
        <v>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 x14ac:dyDescent="0.35">
      <c r="A139" s="6">
        <f>A8</f>
        <v>1</v>
      </c>
      <c r="B139" s="6">
        <f t="shared" ref="B139:C139" si="81">B8</f>
        <v>651201141</v>
      </c>
      <c r="C139" s="78" t="str">
        <f t="shared" si="81"/>
        <v>นางสาวเนตรนภา วงศ์ศรีแก้ว</v>
      </c>
      <c r="D139" s="3">
        <f>D93</f>
        <v>84.03</v>
      </c>
      <c r="E139" s="3">
        <f>E93</f>
        <v>551.02</v>
      </c>
      <c r="F139" s="204" t="str">
        <f>IF($G$136=1,F93,IF($G$136=2,F108,G108))</f>
        <v>B+</v>
      </c>
      <c r="G139" s="20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 x14ac:dyDescent="0.35">
      <c r="A140" s="6">
        <f t="shared" ref="A140:C148" si="82">A9</f>
        <v>2</v>
      </c>
      <c r="B140" s="6">
        <f t="shared" si="82"/>
        <v>651201142</v>
      </c>
      <c r="C140" s="78" t="str">
        <f t="shared" si="82"/>
        <v>นางสาวเบญจวรรณ พั่วพันศรี</v>
      </c>
      <c r="D140" s="3">
        <f t="shared" ref="D140:E148" si="83">D94</f>
        <v>88.95</v>
      </c>
      <c r="E140" s="3">
        <f t="shared" si="83"/>
        <v>630.11</v>
      </c>
      <c r="F140" s="204" t="str">
        <f t="shared" ref="F140:F148" si="84">IF($G$136=1,F94,IF($G$136=2,F109,G109))</f>
        <v>A</v>
      </c>
      <c r="G140" s="20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 x14ac:dyDescent="0.35">
      <c r="A141" s="6">
        <f t="shared" si="82"/>
        <v>3</v>
      </c>
      <c r="B141" s="6">
        <f t="shared" si="82"/>
        <v>651201143</v>
      </c>
      <c r="C141" s="78" t="str">
        <f t="shared" si="82"/>
        <v>นางสาวปนัดดา ไชยทองศรี</v>
      </c>
      <c r="D141" s="3">
        <f t="shared" si="83"/>
        <v>87.76</v>
      </c>
      <c r="E141" s="3">
        <f t="shared" si="83"/>
        <v>608.65</v>
      </c>
      <c r="F141" s="204" t="str">
        <f t="shared" si="84"/>
        <v>A</v>
      </c>
      <c r="G141" s="20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 x14ac:dyDescent="0.35">
      <c r="A142" s="6">
        <f t="shared" si="82"/>
        <v>4</v>
      </c>
      <c r="B142" s="6">
        <f t="shared" si="82"/>
        <v>651201144</v>
      </c>
      <c r="C142" s="78" t="str">
        <f t="shared" si="82"/>
        <v>นางสาวปนัดดา ริกำแง</v>
      </c>
      <c r="D142" s="3">
        <f t="shared" si="83"/>
        <v>83.27</v>
      </c>
      <c r="E142" s="3">
        <f t="shared" si="83"/>
        <v>550.13</v>
      </c>
      <c r="F142" s="204" t="str">
        <f t="shared" si="84"/>
        <v>B+</v>
      </c>
      <c r="G142" s="20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 x14ac:dyDescent="0.35">
      <c r="A143" s="6">
        <f t="shared" si="82"/>
        <v>5</v>
      </c>
      <c r="B143" s="6">
        <f t="shared" si="82"/>
        <v>651201145</v>
      </c>
      <c r="C143" s="78" t="str">
        <f t="shared" si="82"/>
        <v>นางสาวประภาพร เชิดชู</v>
      </c>
      <c r="D143" s="3">
        <f t="shared" si="83"/>
        <v>77.680000000000007</v>
      </c>
      <c r="E143" s="3">
        <f t="shared" si="83"/>
        <v>440.55</v>
      </c>
      <c r="F143" s="204" t="str">
        <f t="shared" si="84"/>
        <v>B</v>
      </c>
      <c r="G143" s="20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 x14ac:dyDescent="0.35">
      <c r="A144" s="6">
        <f t="shared" si="82"/>
        <v>6</v>
      </c>
      <c r="B144" s="6">
        <f t="shared" si="82"/>
        <v>651201146</v>
      </c>
      <c r="C144" s="78" t="str">
        <f t="shared" si="82"/>
        <v>นางสาวปรีดานนั ต์ ลือพรม</v>
      </c>
      <c r="D144" s="3">
        <f t="shared" si="83"/>
        <v>78.69</v>
      </c>
      <c r="E144" s="3">
        <f t="shared" si="83"/>
        <v>457.47</v>
      </c>
      <c r="F144" s="204" t="str">
        <f t="shared" si="84"/>
        <v>B</v>
      </c>
      <c r="G144" s="20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 x14ac:dyDescent="0.35">
      <c r="A145" s="6">
        <f t="shared" si="82"/>
        <v>7</v>
      </c>
      <c r="B145" s="6">
        <f t="shared" si="82"/>
        <v>651201147</v>
      </c>
      <c r="C145" s="78" t="str">
        <f t="shared" si="82"/>
        <v>นางสาวปัญญาพร แสงวงศ์</v>
      </c>
      <c r="D145" s="3">
        <f t="shared" si="83"/>
        <v>76.53</v>
      </c>
      <c r="E145" s="3">
        <f t="shared" si="83"/>
        <v>436.92</v>
      </c>
      <c r="F145" s="204" t="str">
        <f t="shared" si="84"/>
        <v>B</v>
      </c>
      <c r="G145" s="20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 x14ac:dyDescent="0.35">
      <c r="A146" s="6">
        <f t="shared" si="82"/>
        <v>8</v>
      </c>
      <c r="B146" s="6">
        <f t="shared" si="82"/>
        <v>651201148</v>
      </c>
      <c r="C146" s="78" t="str">
        <f t="shared" si="82"/>
        <v>นางสาวปัญฑิษา วังวิวัฒน์ขจร</v>
      </c>
      <c r="D146" s="3">
        <f t="shared" si="83"/>
        <v>83.76</v>
      </c>
      <c r="E146" s="3">
        <f t="shared" si="83"/>
        <v>533.15</v>
      </c>
      <c r="F146" s="204" t="str">
        <f t="shared" si="84"/>
        <v>B+</v>
      </c>
      <c r="G146" s="20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 x14ac:dyDescent="0.35">
      <c r="A147" s="6">
        <f t="shared" si="82"/>
        <v>9</v>
      </c>
      <c r="B147" s="6">
        <f t="shared" si="82"/>
        <v>0</v>
      </c>
      <c r="C147" s="78">
        <f t="shared" si="82"/>
        <v>0</v>
      </c>
      <c r="D147" s="3">
        <f t="shared" si="83"/>
        <v>0</v>
      </c>
      <c r="E147" s="3">
        <f t="shared" si="83"/>
        <v>0</v>
      </c>
      <c r="F147" s="204" t="str">
        <f t="shared" si="84"/>
        <v>-</v>
      </c>
      <c r="G147" s="20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 x14ac:dyDescent="0.35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</sheetData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585" r:id="rId3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127000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1:U148"/>
  <sheetViews>
    <sheetView view="pageBreakPreview" zoomScaleSheetLayoutView="80" workbookViewId="0">
      <selection sqref="A1:U3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9" style="1" customWidth="1"/>
    <col min="5" max="5" width="6.5" style="1" customWidth="1"/>
    <col min="6" max="6" width="8.83203125" style="1" customWidth="1"/>
    <col min="7" max="7" width="7.6640625" style="1" customWidth="1"/>
    <col min="8" max="8" width="9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7.1640625" style="1" customWidth="1"/>
    <col min="17" max="18" width="7.6640625" style="1" customWidth="1"/>
    <col min="19" max="19" width="6.6640625" style="1" customWidth="1"/>
    <col min="20" max="16384" width="9" style="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x14ac:dyDescent="0.35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93">
        <v>651201149</v>
      </c>
      <c r="C8" s="293" t="s">
        <v>265</v>
      </c>
      <c r="D8" s="69">
        <v>160</v>
      </c>
      <c r="E8" s="8">
        <f>IF(D8="-","-",IF(D8=0,0,(D8*$E$7)/$D$7))</f>
        <v>54.857142857142854</v>
      </c>
      <c r="F8" s="3">
        <f>IF(D8="-","-",IF(D8=0,0,IF($D$19=0,50,(50+(10*(STANDARDIZE(D8,$D$18,$D$19)))))*$F$7))</f>
        <v>381.91989724857683</v>
      </c>
      <c r="G8" s="69">
        <v>66</v>
      </c>
      <c r="H8" s="8">
        <f>IF(G8="-","-",IF(G8=0,0,(G8*$H$7)/$G$7))</f>
        <v>8.8000000000000007</v>
      </c>
      <c r="I8" s="3">
        <f>IF(G8="-","-",IF(G8=0,0,IF($G$19=0,50,(50+(10*(STANDARDIZE(G8,$G$18,$G$19)))))*$I$7))</f>
        <v>64.390007363455453</v>
      </c>
      <c r="J8" s="69">
        <v>45</v>
      </c>
      <c r="K8" s="8">
        <f>IF(J8="-","-",IF(J8=0,0,(J8*$K$7)/$J$7))</f>
        <v>9</v>
      </c>
      <c r="L8" s="3">
        <f>IF(J8="-","-",IF(J8=0,0,IF(J19=0,50,(50+(10*(STANDARDIZE(J8,$J$18,$J$19)))))*$L$7))</f>
        <v>60.960251760067734</v>
      </c>
      <c r="M8" s="69">
        <v>28</v>
      </c>
      <c r="N8" s="8">
        <f>IF(M8="-","-",IF(M8=0,0,(M8*$N$7)/$M$7))</f>
        <v>4.666666666666667</v>
      </c>
      <c r="O8" s="3">
        <f>IF(M8="-","-",IF(M8=0,0,IF($M$19=0,50,(50+(10*(STANDARDIZE(M8,$M$18,$M$19)))))*$O$7))</f>
        <v>31.0380736442456</v>
      </c>
      <c r="P8" s="69">
        <v>70</v>
      </c>
      <c r="Q8" s="8">
        <f>IF(P8="-","-",IF(P8=0,0,(P8*$Q$7)/$P$7))</f>
        <v>7.7777777777777777</v>
      </c>
      <c r="R8" s="3">
        <f>IF(P8="-","-",IF(P8=0,0,IF($P$19=0,50,(50+(10*(STANDARDIZE(P8,$P$18,$P$19)))))*$R$7))</f>
        <v>50</v>
      </c>
      <c r="S8">
        <v>18</v>
      </c>
      <c r="T8" s="8">
        <f>IF(S8="-","-",IF(S8=0,0,(S8*$T$7)/$S$7))</f>
        <v>4.5</v>
      </c>
      <c r="U8" s="3">
        <f>IF(S8="-","-",IF(S8=0,0,IF($S$19=0,50,(50+(10*(STANDARDIZE(S8,$S$18,$S$19)))))*$U$7))</f>
        <v>58.346647745248646</v>
      </c>
    </row>
    <row r="9" spans="1:21" ht="27" x14ac:dyDescent="0.45">
      <c r="A9" s="95">
        <v>2</v>
      </c>
      <c r="B9" s="293">
        <v>651201150</v>
      </c>
      <c r="C9" s="293" t="s">
        <v>266</v>
      </c>
      <c r="D9" s="69">
        <v>145</v>
      </c>
      <c r="E9" s="8">
        <f t="shared" ref="E9:E17" si="0">IF(D9="-","-",IF(D9=0,0,(D9*$E$7)/$D$7))</f>
        <v>49.714285714285715</v>
      </c>
      <c r="F9" s="3">
        <f t="shared" ref="F9:F16" si="1">IF(D9="-","-",IF(D9=0,0,IF($D$19=0,50,(50+(10*(STANDARDIZE(D9,$D$18,$D$19)))))*$F$7))</f>
        <v>241.48578767958796</v>
      </c>
      <c r="G9" s="69">
        <v>50</v>
      </c>
      <c r="H9" s="8">
        <f t="shared" ref="H9:H17" si="2">IF(G9="-","-",IF(G9=0,0,(G9*$H$7)/$G$7))</f>
        <v>6.666666666666667</v>
      </c>
      <c r="I9" s="3">
        <f t="shared" ref="I9:I17" si="3">IF(G9="-","-",IF(G9=0,0,IF($G$19=0,50,(50+(10*(STANDARDIZE(G9,$G$18,$G$19)))))*$I$7))</f>
        <v>42.198188778849449</v>
      </c>
      <c r="J9" s="69">
        <v>35</v>
      </c>
      <c r="K9" s="8">
        <f t="shared" ref="K9:K17" si="4">IF(J9="-","-",IF(J9=0,0,(J9*$K$7)/$J$7))</f>
        <v>7</v>
      </c>
      <c r="L9" s="3">
        <f t="shared" ref="L9:L17" si="5">IF(J9="-","-",IF(J9=0,0,IF(J20=0,50,(50+(10*(STANDARDIZE(J9,$J$18,$J$19)))))*$L$7))</f>
        <v>50</v>
      </c>
      <c r="M9" s="69">
        <v>19</v>
      </c>
      <c r="N9" s="8">
        <f t="shared" ref="N9:N17" si="6">IF(M9="-","-",IF(M9=0,0,(M9*$N$7)/$M$7))</f>
        <v>3.1666666666666665</v>
      </c>
      <c r="O9" s="3">
        <f t="shared" ref="O9:O17" si="7">IF(M9="-","-",IF(M9=0,0,IF($M$19=0,50,(50+(10*(STANDARDIZE(M9,$M$18,$M$19)))))*$O$7))</f>
        <v>18.616893576083221</v>
      </c>
      <c r="P9" s="69">
        <v>70</v>
      </c>
      <c r="Q9" s="8">
        <f t="shared" ref="Q9:Q17" si="8">IF(P9="-","-",IF(P9=0,0,(P9*$Q$7)/$P$7))</f>
        <v>7.7777777777777777</v>
      </c>
      <c r="R9" s="3">
        <f t="shared" ref="R9:R17" si="9">IF(P9="-","-",IF(P9=0,0,IF($P$19=0,50,(50+(10*(STANDARDIZE(P9,$P$18,$P$19)))))*$R$7))</f>
        <v>50</v>
      </c>
      <c r="S9">
        <v>6</v>
      </c>
      <c r="T9" s="8">
        <f t="shared" ref="T9:T17" si="10">IF(S9="-","-",IF(S9=0,0,(S9*$T$7)/$S$7))</f>
        <v>1.5</v>
      </c>
      <c r="U9" s="3">
        <f t="shared" ref="U9:U17" si="11">IF(S9="-","-",IF(S9=0,0,IF($S$19=0,50,(50+(10*(STANDARDIZE(S9,$S$18,$S$19)))))*$U$7))</f>
        <v>32.498964405123807</v>
      </c>
    </row>
    <row r="10" spans="1:21" ht="27" x14ac:dyDescent="0.45">
      <c r="A10" s="95">
        <v>3</v>
      </c>
      <c r="B10" s="293">
        <v>651201151</v>
      </c>
      <c r="C10" s="293" t="s">
        <v>267</v>
      </c>
      <c r="D10" s="69">
        <v>150</v>
      </c>
      <c r="E10" s="8">
        <f t="shared" si="0"/>
        <v>51.428571428571431</v>
      </c>
      <c r="F10" s="3">
        <f t="shared" si="1"/>
        <v>288.29715753591756</v>
      </c>
      <c r="G10" s="69">
        <v>55</v>
      </c>
      <c r="H10" s="8">
        <f t="shared" si="2"/>
        <v>7.333333333333333</v>
      </c>
      <c r="I10" s="3">
        <f t="shared" si="3"/>
        <v>49.133132086538829</v>
      </c>
      <c r="J10" s="69">
        <v>45</v>
      </c>
      <c r="K10" s="8">
        <f t="shared" si="4"/>
        <v>9</v>
      </c>
      <c r="L10" s="3">
        <f t="shared" si="5"/>
        <v>50</v>
      </c>
      <c r="M10" s="69">
        <v>20</v>
      </c>
      <c r="N10" s="8">
        <f t="shared" si="6"/>
        <v>3.3333333333333335</v>
      </c>
      <c r="O10" s="3">
        <f t="shared" si="7"/>
        <v>19.99702469476793</v>
      </c>
      <c r="P10" s="69">
        <v>70</v>
      </c>
      <c r="Q10" s="8">
        <f t="shared" si="8"/>
        <v>7.7777777777777777</v>
      </c>
      <c r="R10" s="3">
        <f t="shared" si="9"/>
        <v>50</v>
      </c>
      <c r="S10">
        <v>13</v>
      </c>
      <c r="T10" s="8">
        <f t="shared" si="10"/>
        <v>3.25</v>
      </c>
      <c r="U10" s="3">
        <f t="shared" si="11"/>
        <v>47.576779686863297</v>
      </c>
    </row>
    <row r="11" spans="1:21" ht="27" x14ac:dyDescent="0.45">
      <c r="A11" s="95">
        <v>4</v>
      </c>
      <c r="B11" s="293">
        <v>651201152</v>
      </c>
      <c r="C11" s="293" t="s">
        <v>268</v>
      </c>
      <c r="D11" s="69">
        <v>160</v>
      </c>
      <c r="E11" s="8">
        <f t="shared" si="0"/>
        <v>54.857142857142854</v>
      </c>
      <c r="F11" s="3">
        <f t="shared" si="1"/>
        <v>381.91989724857683</v>
      </c>
      <c r="G11" s="69">
        <v>68</v>
      </c>
      <c r="H11" s="8">
        <f t="shared" si="2"/>
        <v>9.0666666666666664</v>
      </c>
      <c r="I11" s="3">
        <f t="shared" si="3"/>
        <v>67.163984686531208</v>
      </c>
      <c r="J11" s="69">
        <v>45</v>
      </c>
      <c r="K11" s="8">
        <f t="shared" si="4"/>
        <v>9</v>
      </c>
      <c r="L11" s="3">
        <f t="shared" si="5"/>
        <v>60.960251760067734</v>
      </c>
      <c r="M11" s="69">
        <v>28</v>
      </c>
      <c r="N11" s="8">
        <f t="shared" si="6"/>
        <v>4.666666666666667</v>
      </c>
      <c r="O11" s="3">
        <f t="shared" si="7"/>
        <v>31.0380736442456</v>
      </c>
      <c r="P11" s="69">
        <v>70</v>
      </c>
      <c r="Q11" s="8">
        <f t="shared" si="8"/>
        <v>7.7777777777777777</v>
      </c>
      <c r="R11" s="3">
        <f t="shared" si="9"/>
        <v>50</v>
      </c>
      <c r="S11">
        <v>19</v>
      </c>
      <c r="T11" s="8">
        <f t="shared" si="10"/>
        <v>4.75</v>
      </c>
      <c r="U11" s="3">
        <f t="shared" si="11"/>
        <v>60.50062135692572</v>
      </c>
    </row>
    <row r="12" spans="1:21" ht="27" x14ac:dyDescent="0.45">
      <c r="A12" s="95">
        <v>5</v>
      </c>
      <c r="B12" s="293">
        <v>651201153</v>
      </c>
      <c r="C12" s="293" t="s">
        <v>269</v>
      </c>
      <c r="D12" s="69">
        <v>145</v>
      </c>
      <c r="E12" s="8">
        <f t="shared" si="0"/>
        <v>49.714285714285715</v>
      </c>
      <c r="F12" s="3">
        <f t="shared" si="1"/>
        <v>241.48578767958796</v>
      </c>
      <c r="G12" s="69">
        <v>52</v>
      </c>
      <c r="H12" s="8">
        <f t="shared" si="2"/>
        <v>6.9333333333333336</v>
      </c>
      <c r="I12" s="3">
        <f t="shared" si="3"/>
        <v>44.972166101925204</v>
      </c>
      <c r="J12" s="69">
        <v>40</v>
      </c>
      <c r="K12" s="8">
        <f t="shared" si="4"/>
        <v>8</v>
      </c>
      <c r="L12" s="3">
        <f t="shared" si="5"/>
        <v>50</v>
      </c>
      <c r="M12" s="69">
        <v>20</v>
      </c>
      <c r="N12" s="8">
        <f t="shared" si="6"/>
        <v>3.3333333333333335</v>
      </c>
      <c r="O12" s="3">
        <f t="shared" si="7"/>
        <v>19.99702469476793</v>
      </c>
      <c r="P12" s="69">
        <v>70</v>
      </c>
      <c r="Q12" s="8">
        <f t="shared" si="8"/>
        <v>7.7777777777777777</v>
      </c>
      <c r="R12" s="3">
        <f t="shared" si="9"/>
        <v>50</v>
      </c>
      <c r="S12">
        <v>14</v>
      </c>
      <c r="T12" s="8">
        <f t="shared" si="10"/>
        <v>3.5</v>
      </c>
      <c r="U12" s="3">
        <f t="shared" si="11"/>
        <v>49.730753298540364</v>
      </c>
    </row>
    <row r="13" spans="1:21" ht="27" x14ac:dyDescent="0.45">
      <c r="A13" s="95">
        <v>6</v>
      </c>
      <c r="B13" s="293">
        <v>651201154</v>
      </c>
      <c r="C13" s="293" t="s">
        <v>270</v>
      </c>
      <c r="D13" s="69">
        <v>145</v>
      </c>
      <c r="E13" s="8">
        <f t="shared" si="0"/>
        <v>49.714285714285715</v>
      </c>
      <c r="F13" s="3">
        <f t="shared" si="1"/>
        <v>241.48578767958796</v>
      </c>
      <c r="G13" s="69">
        <v>50</v>
      </c>
      <c r="H13" s="8">
        <f t="shared" si="2"/>
        <v>6.666666666666667</v>
      </c>
      <c r="I13" s="3">
        <f t="shared" si="3"/>
        <v>42.198188778849449</v>
      </c>
      <c r="J13" s="69">
        <v>38</v>
      </c>
      <c r="K13" s="8">
        <f t="shared" si="4"/>
        <v>7.6</v>
      </c>
      <c r="L13" s="3">
        <f t="shared" si="5"/>
        <v>50</v>
      </c>
      <c r="M13" s="69">
        <v>24</v>
      </c>
      <c r="N13" s="8">
        <f t="shared" si="6"/>
        <v>4</v>
      </c>
      <c r="O13" s="3">
        <f t="shared" si="7"/>
        <v>25.517549169506765</v>
      </c>
      <c r="P13" s="69">
        <v>70</v>
      </c>
      <c r="Q13" s="8">
        <f t="shared" si="8"/>
        <v>7.7777777777777777</v>
      </c>
      <c r="R13" s="3">
        <f t="shared" si="9"/>
        <v>50</v>
      </c>
      <c r="S13">
        <v>9</v>
      </c>
      <c r="T13" s="8">
        <f t="shared" si="10"/>
        <v>2.25</v>
      </c>
      <c r="U13" s="3">
        <f t="shared" si="11"/>
        <v>38.960885240155015</v>
      </c>
    </row>
    <row r="14" spans="1:21" ht="27" x14ac:dyDescent="0.45">
      <c r="A14" s="95">
        <v>7</v>
      </c>
      <c r="B14" s="293">
        <v>651201155</v>
      </c>
      <c r="C14" s="293" t="s">
        <v>271</v>
      </c>
      <c r="D14" s="69">
        <v>150</v>
      </c>
      <c r="E14" s="8">
        <f t="shared" si="0"/>
        <v>51.428571428571431</v>
      </c>
      <c r="F14" s="3">
        <f t="shared" si="1"/>
        <v>288.29715753591756</v>
      </c>
      <c r="G14" s="69">
        <v>52</v>
      </c>
      <c r="H14" s="8">
        <f t="shared" si="2"/>
        <v>6.9333333333333336</v>
      </c>
      <c r="I14" s="3">
        <f t="shared" si="3"/>
        <v>44.972166101925204</v>
      </c>
      <c r="J14" s="69">
        <v>36</v>
      </c>
      <c r="K14" s="8">
        <f t="shared" si="4"/>
        <v>7.2</v>
      </c>
      <c r="L14" s="3">
        <f t="shared" si="5"/>
        <v>50</v>
      </c>
      <c r="M14" s="69">
        <v>26</v>
      </c>
      <c r="N14" s="8">
        <f t="shared" si="6"/>
        <v>4.333333333333333</v>
      </c>
      <c r="O14" s="3">
        <f t="shared" si="7"/>
        <v>28.277811406876182</v>
      </c>
      <c r="P14" s="69">
        <v>70</v>
      </c>
      <c r="Q14" s="8">
        <f t="shared" si="8"/>
        <v>7.7777777777777777</v>
      </c>
      <c r="R14" s="3">
        <f t="shared" si="9"/>
        <v>50</v>
      </c>
      <c r="S14">
        <v>16</v>
      </c>
      <c r="T14" s="8">
        <f t="shared" si="10"/>
        <v>4</v>
      </c>
      <c r="U14" s="3">
        <f t="shared" si="11"/>
        <v>54.038700521894505</v>
      </c>
    </row>
    <row r="15" spans="1:21" ht="27" x14ac:dyDescent="0.45">
      <c r="A15" s="95">
        <v>8</v>
      </c>
      <c r="B15" s="293">
        <v>651201156</v>
      </c>
      <c r="C15" s="293" t="s">
        <v>272</v>
      </c>
      <c r="D15" s="69">
        <v>155</v>
      </c>
      <c r="E15" s="8">
        <f t="shared" si="0"/>
        <v>53.142857142857146</v>
      </c>
      <c r="F15" s="3">
        <f t="shared" si="1"/>
        <v>335.1085273922472</v>
      </c>
      <c r="G15" s="69">
        <v>52</v>
      </c>
      <c r="H15" s="8">
        <f t="shared" si="2"/>
        <v>6.9333333333333336</v>
      </c>
      <c r="I15" s="3">
        <f t="shared" si="3"/>
        <v>44.972166101925204</v>
      </c>
      <c r="J15" s="69">
        <v>40</v>
      </c>
      <c r="K15" s="8">
        <f t="shared" si="4"/>
        <v>8</v>
      </c>
      <c r="L15" s="3">
        <f t="shared" si="5"/>
        <v>50</v>
      </c>
      <c r="M15" s="69">
        <v>24</v>
      </c>
      <c r="N15" s="8">
        <f t="shared" si="6"/>
        <v>4</v>
      </c>
      <c r="O15" s="3">
        <f t="shared" si="7"/>
        <v>25.517549169506765</v>
      </c>
      <c r="P15" s="69">
        <v>70</v>
      </c>
      <c r="Q15" s="8">
        <f t="shared" si="8"/>
        <v>7.7777777777777777</v>
      </c>
      <c r="R15" s="3">
        <f t="shared" si="9"/>
        <v>50</v>
      </c>
      <c r="S15">
        <v>18</v>
      </c>
      <c r="T15" s="8">
        <f t="shared" si="10"/>
        <v>4.5</v>
      </c>
      <c r="U15" s="3">
        <f t="shared" si="11"/>
        <v>58.346647745248646</v>
      </c>
    </row>
    <row r="16" spans="1: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18" customHeight="1" x14ac:dyDescent="0.35">
      <c r="C18" s="42" t="s">
        <v>13</v>
      </c>
      <c r="D18" s="9">
        <f>AVERAGE($D$8:$D$17)</f>
        <v>151.25</v>
      </c>
      <c r="E18" s="2"/>
      <c r="F18" s="2"/>
      <c r="G18" s="9">
        <f>AVERAGE($G$8:$G$17)</f>
        <v>55.625</v>
      </c>
      <c r="J18" s="9">
        <f>AVERAGE($J$8:$J$17)</f>
        <v>40.5</v>
      </c>
      <c r="M18" s="9">
        <f>AVERAGE($M$8:$M$17)</f>
        <v>23.625</v>
      </c>
      <c r="P18" s="9">
        <f>AVERAGE($P$8:$P$17)</f>
        <v>70</v>
      </c>
      <c r="S18" s="9">
        <f>AVERAGE($S$8:$S$17)</f>
        <v>14.125</v>
      </c>
    </row>
    <row r="19" spans="1:21" ht="18" customHeight="1" x14ac:dyDescent="0.35">
      <c r="C19" s="42" t="s">
        <v>14</v>
      </c>
      <c r="D19" s="9">
        <f>STDEV($D$8:$D$17)</f>
        <v>6.4086994446165573</v>
      </c>
      <c r="E19" s="2"/>
      <c r="F19" s="2"/>
      <c r="G19" s="9">
        <f>STDEV($G$8:$G$17)</f>
        <v>7.2098642745299202</v>
      </c>
      <c r="J19" s="9">
        <f>STDEV($J$8:$J$17)</f>
        <v>4.1057451037714037</v>
      </c>
      <c r="M19" s="9">
        <f>STDEV($M$8:$M$17)</f>
        <v>3.6228441865473595</v>
      </c>
      <c r="P19" s="9">
        <f>STDEV($P$8:$P$17)</f>
        <v>0</v>
      </c>
      <c r="S19" s="9">
        <f>STDEV(S8:S17)</f>
        <v>4.6425824094539694</v>
      </c>
    </row>
    <row r="20" spans="1:21" ht="18" customHeight="1" x14ac:dyDescent="0.35"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18" customHeight="1" x14ac:dyDescent="0.35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x14ac:dyDescent="0.35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22" x14ac:dyDescent="0.35">
      <c r="A24" s="6">
        <v>1</v>
      </c>
      <c r="B24" s="38">
        <f>B8</f>
        <v>651201149</v>
      </c>
      <c r="C24" s="39" t="str">
        <f>C8</f>
        <v>นางสาวปิยวรรณ ขยันพูด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22" x14ac:dyDescent="0.35">
      <c r="A25" s="6">
        <v>2</v>
      </c>
      <c r="B25" s="38">
        <f t="shared" ref="B25:C33" si="12">B9</f>
        <v>651201150</v>
      </c>
      <c r="C25" s="39" t="str">
        <f t="shared" si="12"/>
        <v>นายปิยวัฒน์ ตลับแก้ว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22" x14ac:dyDescent="0.35">
      <c r="A26" s="6">
        <v>3</v>
      </c>
      <c r="B26" s="38">
        <f t="shared" si="12"/>
        <v>651201151</v>
      </c>
      <c r="C26" s="39" t="str">
        <f t="shared" si="12"/>
        <v>นางสาวปิยะมาศ พงษ์สระพัง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22" x14ac:dyDescent="0.35">
      <c r="A27" s="6">
        <v>4</v>
      </c>
      <c r="B27" s="38">
        <f t="shared" si="12"/>
        <v>651201152</v>
      </c>
      <c r="C27" s="39" t="str">
        <f t="shared" si="12"/>
        <v>นางสาวพนัชกร จุมจนั ทร์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22" x14ac:dyDescent="0.35">
      <c r="A28" s="6">
        <v>5</v>
      </c>
      <c r="B28" s="38">
        <f t="shared" si="12"/>
        <v>651201153</v>
      </c>
      <c r="C28" s="39" t="str">
        <f t="shared" si="12"/>
        <v>นางสาวพรชิตา บัวสิม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22" x14ac:dyDescent="0.35">
      <c r="A29" s="6">
        <v>6</v>
      </c>
      <c r="B29" s="38">
        <f t="shared" si="12"/>
        <v>651201154</v>
      </c>
      <c r="C29" s="39" t="str">
        <f t="shared" si="12"/>
        <v>นางสาวพัชราพร ชาลีสูงเนิน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22" x14ac:dyDescent="0.35">
      <c r="A30" s="6">
        <v>7</v>
      </c>
      <c r="B30" s="38">
        <f t="shared" si="12"/>
        <v>651201155</v>
      </c>
      <c r="C30" s="39" t="str">
        <f t="shared" si="12"/>
        <v>นางสาวพัณณิตา ประสมทรัพย์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22" x14ac:dyDescent="0.35">
      <c r="A31" s="6">
        <v>8</v>
      </c>
      <c r="B31" s="38">
        <f t="shared" si="12"/>
        <v>651201156</v>
      </c>
      <c r="C31" s="39" t="str">
        <f t="shared" si="12"/>
        <v>นางสาวพิลาวรรณ จันทิมาต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x14ac:dyDescent="0.35">
      <c r="A32" s="6">
        <v>9</v>
      </c>
      <c r="B32" s="38">
        <f t="shared" si="12"/>
        <v>0</v>
      </c>
      <c r="C32" s="39">
        <f t="shared" si="12"/>
        <v>0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x14ac:dyDescent="0.35">
      <c r="C34" s="42" t="s">
        <v>13</v>
      </c>
      <c r="D34" s="9" t="e">
        <f>AVERAGE($D$24:$D$33)</f>
        <v>#DIV/0!</v>
      </c>
      <c r="G34" s="9" t="e">
        <f>AVERAGE($G$24:$G$33)</f>
        <v>#DIV/0!</v>
      </c>
      <c r="J34" s="9" t="e">
        <f>AVERAGE($J$24:$J$33)</f>
        <v>#DIV/0!</v>
      </c>
      <c r="M34" s="9" t="e">
        <f>AVERAGE($M$24:$M$33)</f>
        <v>#DIV/0!</v>
      </c>
      <c r="P34" s="9" t="e">
        <f>AVERAGE($P$24:$P$33)</f>
        <v>#DIV/0!</v>
      </c>
      <c r="S34" s="72" t="e">
        <f>AVERAGE($S$24:$S$33)</f>
        <v>#DIV/0!</v>
      </c>
    </row>
    <row r="35" spans="1:21" x14ac:dyDescent="0.35">
      <c r="C35" s="42" t="s">
        <v>14</v>
      </c>
      <c r="D35" s="9" t="e">
        <f>STDEV($D$24:$D$33)</f>
        <v>#DIV/0!</v>
      </c>
      <c r="F35" s="5"/>
      <c r="G35" s="9" t="e">
        <f>STDEV($G$24:$G$33)</f>
        <v>#DIV/0!</v>
      </c>
      <c r="J35" s="9" t="e">
        <f>STDEV($J$24:$J$33)</f>
        <v>#DIV/0!</v>
      </c>
      <c r="L35" s="5"/>
      <c r="M35" s="9" t="e">
        <f>STDEV($M$24:$M$33)</f>
        <v>#DIV/0!</v>
      </c>
      <c r="P35" s="9" t="e">
        <f>STDEV($P$24:$P$33)</f>
        <v>#DIV/0!</v>
      </c>
      <c r="S35" s="72" t="e">
        <f>STDEV($S$24:$S$33)</f>
        <v>#DIV/0!</v>
      </c>
    </row>
    <row r="36" spans="1:21" x14ac:dyDescent="0.35">
      <c r="C36" s="42"/>
      <c r="D36" s="9"/>
      <c r="F36" s="5"/>
      <c r="G36" s="9" t="s">
        <v>2</v>
      </c>
      <c r="J36" s="9"/>
      <c r="L36" s="5"/>
      <c r="M36" s="9"/>
      <c r="P36" s="1" t="s">
        <v>2</v>
      </c>
    </row>
    <row r="37" spans="1:21" x14ac:dyDescent="0.35"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</row>
    <row r="38" spans="1:21" x14ac:dyDescent="0.35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x14ac:dyDescent="0.35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22" x14ac:dyDescent="0.35">
      <c r="A41" s="6">
        <v>1</v>
      </c>
      <c r="B41" s="38">
        <f>B8</f>
        <v>651201149</v>
      </c>
      <c r="C41" s="39" t="str">
        <f>C8</f>
        <v>นางสาวปิยวรรณ ขยันพูด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22" x14ac:dyDescent="0.35">
      <c r="A42" s="6">
        <v>2</v>
      </c>
      <c r="B42" s="38">
        <f t="shared" ref="B42:C50" si="25">B9</f>
        <v>651201150</v>
      </c>
      <c r="C42" s="39" t="str">
        <f t="shared" si="25"/>
        <v>นายปิยวัฒน์ ตลับแก้ว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22" x14ac:dyDescent="0.35">
      <c r="A43" s="6">
        <v>3</v>
      </c>
      <c r="B43" s="38">
        <f t="shared" si="25"/>
        <v>651201151</v>
      </c>
      <c r="C43" s="39" t="str">
        <f t="shared" si="25"/>
        <v>นางสาวปิยะมาศ พงษ์สระพัง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22" x14ac:dyDescent="0.35">
      <c r="A44" s="6">
        <v>4</v>
      </c>
      <c r="B44" s="38">
        <f t="shared" si="25"/>
        <v>651201152</v>
      </c>
      <c r="C44" s="39" t="str">
        <f t="shared" si="25"/>
        <v>นางสาวพนัชกร จุมจนั ทร์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22" x14ac:dyDescent="0.35">
      <c r="A45" s="6">
        <v>5</v>
      </c>
      <c r="B45" s="38">
        <f t="shared" si="25"/>
        <v>651201153</v>
      </c>
      <c r="C45" s="39" t="str">
        <f t="shared" si="25"/>
        <v>นางสาวพรชิตา บัวสิม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22" x14ac:dyDescent="0.35">
      <c r="A46" s="6">
        <v>6</v>
      </c>
      <c r="B46" s="38">
        <f t="shared" si="25"/>
        <v>651201154</v>
      </c>
      <c r="C46" s="39" t="str">
        <f t="shared" si="25"/>
        <v>นางสาวพัชราพร ชาลีสูงเนิน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22" x14ac:dyDescent="0.35">
      <c r="A47" s="6">
        <v>7</v>
      </c>
      <c r="B47" s="38">
        <f t="shared" si="25"/>
        <v>651201155</v>
      </c>
      <c r="C47" s="39" t="str">
        <f t="shared" si="25"/>
        <v>นางสาวพัณณิตา ประสมทรัพย์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22" x14ac:dyDescent="0.35">
      <c r="A48" s="6">
        <v>8</v>
      </c>
      <c r="B48" s="38">
        <f t="shared" si="25"/>
        <v>651201156</v>
      </c>
      <c r="C48" s="39" t="str">
        <f t="shared" si="25"/>
        <v>นางสาวพิลาวรรณ จันทิมาต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x14ac:dyDescent="0.35">
      <c r="A49" s="6">
        <v>9</v>
      </c>
      <c r="B49" s="38">
        <f t="shared" si="25"/>
        <v>0</v>
      </c>
      <c r="C49" s="39">
        <f t="shared" si="25"/>
        <v>0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x14ac:dyDescent="0.35">
      <c r="C51" s="42" t="s">
        <v>13</v>
      </c>
      <c r="D51" s="9" t="e">
        <f>AVERAGE($D$41:$D$50)</f>
        <v>#DIV/0!</v>
      </c>
      <c r="G51" s="9" t="e">
        <f>AVERAGE($G$41:$G$50)</f>
        <v>#DIV/0!</v>
      </c>
      <c r="J51" s="9" t="e">
        <f>AVERAGE($J$41:$J$50)</f>
        <v>#DIV/0!</v>
      </c>
      <c r="M51" s="9" t="e">
        <f>AVERAGE($M$41:$M$50)</f>
        <v>#DIV/0!</v>
      </c>
      <c r="P51" s="9" t="e">
        <f>AVERAGE($P$41:$P$50)</f>
        <v>#DIV/0!</v>
      </c>
      <c r="S51" s="9" t="e">
        <f>AVERAGE($S$41:$S$50)</f>
        <v>#DIV/0!</v>
      </c>
    </row>
    <row r="52" spans="1:21" x14ac:dyDescent="0.35">
      <c r="C52" s="42" t="s">
        <v>14</v>
      </c>
      <c r="D52" s="9" t="e">
        <f>STDEV($D$41:$D$50)</f>
        <v>#DIV/0!</v>
      </c>
      <c r="F52" s="5"/>
      <c r="G52" s="9" t="e">
        <f>STDEV($G$41:$G$50)</f>
        <v>#DIV/0!</v>
      </c>
      <c r="J52" s="9" t="e">
        <f>STDEV($J$41:$J$50)</f>
        <v>#DIV/0!</v>
      </c>
      <c r="M52" s="9" t="e">
        <f>STDEV($M$41:$M$50)</f>
        <v>#DIV/0!</v>
      </c>
      <c r="O52" s="5"/>
      <c r="P52" s="9" t="e">
        <f>STDEV($P$41:$P$50)</f>
        <v>#DIV/0!</v>
      </c>
      <c r="R52" s="5"/>
      <c r="S52" s="9" t="e">
        <f>STDEV($S$41:$S$50)</f>
        <v>#DIV/0!</v>
      </c>
    </row>
    <row r="53" spans="1:21" x14ac:dyDescent="0.35">
      <c r="C53" s="42"/>
      <c r="D53" s="9"/>
      <c r="F53" s="5"/>
      <c r="G53" s="9"/>
      <c r="J53" s="9"/>
      <c r="L53" s="5"/>
      <c r="M53" s="9"/>
      <c r="P53" s="1" t="s">
        <v>2</v>
      </c>
    </row>
    <row r="54" spans="1:21" x14ac:dyDescent="0.35"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1:21" ht="18.75" customHeight="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18.75" customHeight="1" x14ac:dyDescent="0.35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22" x14ac:dyDescent="0.35">
      <c r="A58" s="6">
        <v>1</v>
      </c>
      <c r="B58" s="38">
        <f>B8</f>
        <v>651201149</v>
      </c>
      <c r="C58" s="73" t="str">
        <f>C8</f>
        <v>นางสาวปิยวรรณ ขยันพูด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22" x14ac:dyDescent="0.35">
      <c r="A59" s="6">
        <v>2</v>
      </c>
      <c r="B59" s="38">
        <f t="shared" ref="B59:C67" si="38">B9</f>
        <v>651201150</v>
      </c>
      <c r="C59" s="73" t="str">
        <f t="shared" si="38"/>
        <v>นายปิยวัฒน์ ตลับแก้ว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22" x14ac:dyDescent="0.35">
      <c r="A60" s="6">
        <v>3</v>
      </c>
      <c r="B60" s="38">
        <f t="shared" si="38"/>
        <v>651201151</v>
      </c>
      <c r="C60" s="73" t="str">
        <f t="shared" si="38"/>
        <v>นางสาวปิยะมาศ พงษ์สระพัง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22" x14ac:dyDescent="0.35">
      <c r="A61" s="6">
        <v>4</v>
      </c>
      <c r="B61" s="38">
        <f t="shared" si="38"/>
        <v>651201152</v>
      </c>
      <c r="C61" s="73" t="str">
        <f t="shared" si="38"/>
        <v>นางสาวพนัชกร จุมจนั ทร์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22" x14ac:dyDescent="0.35">
      <c r="A62" s="6">
        <v>5</v>
      </c>
      <c r="B62" s="38">
        <f t="shared" si="38"/>
        <v>651201153</v>
      </c>
      <c r="C62" s="73" t="str">
        <f t="shared" si="38"/>
        <v>นางสาวพรชิตา บัวสิม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22" x14ac:dyDescent="0.35">
      <c r="A63" s="6">
        <v>6</v>
      </c>
      <c r="B63" s="38">
        <f t="shared" si="38"/>
        <v>651201154</v>
      </c>
      <c r="C63" s="73" t="str">
        <f t="shared" si="38"/>
        <v>นางสาวพัชราพร ชาลีสูงเนิน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22" x14ac:dyDescent="0.35">
      <c r="A64" s="6">
        <v>7</v>
      </c>
      <c r="B64" s="38">
        <f t="shared" si="38"/>
        <v>651201155</v>
      </c>
      <c r="C64" s="73" t="str">
        <f t="shared" si="38"/>
        <v>นางสาวพัณณิตา ประสมทรัพย์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22" x14ac:dyDescent="0.35">
      <c r="A65" s="6">
        <v>8</v>
      </c>
      <c r="B65" s="38">
        <f t="shared" si="38"/>
        <v>651201156</v>
      </c>
      <c r="C65" s="73" t="str">
        <f t="shared" si="38"/>
        <v>นางสาวพิลาวรรณ จันทิมาต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x14ac:dyDescent="0.35">
      <c r="A66" s="6">
        <v>9</v>
      </c>
      <c r="B66" s="38">
        <f t="shared" si="38"/>
        <v>0</v>
      </c>
      <c r="C66" s="73">
        <f t="shared" si="38"/>
        <v>0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x14ac:dyDescent="0.35">
      <c r="C68" s="42" t="s">
        <v>13</v>
      </c>
      <c r="D68" s="9" t="e">
        <f>AVERAGE($D$58:$D$67)</f>
        <v>#DIV/0!</v>
      </c>
      <c r="G68" s="9" t="e">
        <f>AVERAGE($G$58:$G$67)</f>
        <v>#DIV/0!</v>
      </c>
      <c r="J68" s="9" t="e">
        <f>AVERAGE($J$58:$J$67)</f>
        <v>#DIV/0!</v>
      </c>
      <c r="M68" s="9" t="e">
        <f>AVERAGE($M$58:$M$67)</f>
        <v>#DIV/0!</v>
      </c>
      <c r="P68" s="9" t="e">
        <f>AVERAGE($P$58:$P$67)</f>
        <v>#DIV/0!</v>
      </c>
      <c r="S68" s="9" t="e">
        <f>AVERAGE($S$58:$S$67)</f>
        <v>#DIV/0!</v>
      </c>
    </row>
    <row r="69" spans="1:21" x14ac:dyDescent="0.35">
      <c r="C69" s="42" t="s">
        <v>14</v>
      </c>
      <c r="D69" s="9" t="e">
        <f>STDEV($D$58:$D$67)</f>
        <v>#DIV/0!</v>
      </c>
      <c r="F69" s="5"/>
      <c r="G69" s="9" t="e">
        <f>STDEV($G$58:$G$67)</f>
        <v>#DIV/0!</v>
      </c>
      <c r="J69" s="9" t="e">
        <f>STDEV($J$58:$J$67)</f>
        <v>#DIV/0!</v>
      </c>
      <c r="M69" s="9" t="e">
        <f>STDEV($M$41:$M$50)</f>
        <v>#DIV/0!</v>
      </c>
      <c r="O69" s="5"/>
      <c r="P69" s="9" t="e">
        <f>STDEV($P$58:$P$67)</f>
        <v>#DIV/0!</v>
      </c>
      <c r="R69" s="5"/>
      <c r="S69" s="9" t="e">
        <f>STDEV($S$58:$S$67)</f>
        <v>#DIV/0!</v>
      </c>
    </row>
    <row r="70" spans="1:21" x14ac:dyDescent="0.35">
      <c r="C70" s="42"/>
      <c r="D70" s="9"/>
      <c r="F70" s="5"/>
      <c r="G70" s="9"/>
      <c r="J70" s="9"/>
      <c r="L70" s="5"/>
      <c r="M70" s="9"/>
    </row>
    <row r="71" spans="1:21" x14ac:dyDescent="0.35">
      <c r="C71" s="42"/>
      <c r="D71" s="9"/>
      <c r="F71" s="5"/>
      <c r="G71" s="9"/>
      <c r="J71" s="9"/>
      <c r="L71" s="5"/>
      <c r="M71" s="9"/>
    </row>
    <row r="72" spans="1: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x14ac:dyDescent="0.35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22" x14ac:dyDescent="0.35">
      <c r="A75" s="6">
        <f>A8</f>
        <v>1</v>
      </c>
      <c r="B75" s="38">
        <f>B8</f>
        <v>651201149</v>
      </c>
      <c r="C75" s="39" t="str">
        <f>C8</f>
        <v>นางสาวปิยวรรณ ขยันพูด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22" x14ac:dyDescent="0.35">
      <c r="A76" s="6">
        <f t="shared" ref="A76:C84" si="51">A9</f>
        <v>2</v>
      </c>
      <c r="B76" s="38">
        <f t="shared" si="51"/>
        <v>651201150</v>
      </c>
      <c r="C76" s="39" t="str">
        <f t="shared" si="51"/>
        <v>นายปิยวัฒน์ ตลับแก้ว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22" x14ac:dyDescent="0.35">
      <c r="A77" s="6">
        <f t="shared" si="51"/>
        <v>3</v>
      </c>
      <c r="B77" s="38">
        <f t="shared" si="51"/>
        <v>651201151</v>
      </c>
      <c r="C77" s="39" t="str">
        <f t="shared" si="51"/>
        <v>นางสาวปิยะมาศ พงษ์สระพัง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22" x14ac:dyDescent="0.35">
      <c r="A78" s="6">
        <f t="shared" si="51"/>
        <v>4</v>
      </c>
      <c r="B78" s="38">
        <f t="shared" si="51"/>
        <v>651201152</v>
      </c>
      <c r="C78" s="39" t="str">
        <f t="shared" si="51"/>
        <v>นางสาวพนัชกร จุมจนั ทร์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22" x14ac:dyDescent="0.35">
      <c r="A79" s="6">
        <f t="shared" si="51"/>
        <v>5</v>
      </c>
      <c r="B79" s="38">
        <f t="shared" si="51"/>
        <v>651201153</v>
      </c>
      <c r="C79" s="39" t="str">
        <f t="shared" si="51"/>
        <v>นางสาวพรชิตา บัวสิม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22" x14ac:dyDescent="0.35">
      <c r="A80" s="6">
        <f t="shared" si="51"/>
        <v>6</v>
      </c>
      <c r="B80" s="38">
        <f t="shared" si="51"/>
        <v>651201154</v>
      </c>
      <c r="C80" s="39" t="str">
        <f t="shared" si="51"/>
        <v>นางสาวพัชราพร ชาลีสูงเนิน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22" x14ac:dyDescent="0.35">
      <c r="A81" s="6">
        <f t="shared" si="51"/>
        <v>7</v>
      </c>
      <c r="B81" s="38">
        <f t="shared" si="51"/>
        <v>651201155</v>
      </c>
      <c r="C81" s="39" t="str">
        <f t="shared" si="51"/>
        <v>นางสาวพัณณิตา ประสมทรัพย์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22" x14ac:dyDescent="0.35">
      <c r="A82" s="6">
        <f t="shared" si="51"/>
        <v>8</v>
      </c>
      <c r="B82" s="38">
        <f t="shared" si="51"/>
        <v>651201156</v>
      </c>
      <c r="C82" s="39" t="str">
        <f t="shared" si="51"/>
        <v>นางสาวพิลาวรรณ จันทิมาต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x14ac:dyDescent="0.35">
      <c r="A83" s="6">
        <f t="shared" si="51"/>
        <v>9</v>
      </c>
      <c r="B83" s="38">
        <f t="shared" si="51"/>
        <v>0</v>
      </c>
      <c r="C83" s="39">
        <f t="shared" si="51"/>
        <v>0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x14ac:dyDescent="0.35">
      <c r="C85" s="42" t="s">
        <v>13</v>
      </c>
      <c r="D85" s="9" t="e">
        <f>AVERAGE($D$75:$D$84)</f>
        <v>#DIV/0!</v>
      </c>
      <c r="G85" s="9" t="e">
        <f>AVERAGE($G$75:$G$84)</f>
        <v>#DIV/0!</v>
      </c>
      <c r="J85" s="9" t="e">
        <f>AVERAGE($J$75:$J$84)</f>
        <v>#DIV/0!</v>
      </c>
      <c r="M85" s="9" t="e">
        <f>AVERAGE($M$75:$M$84)</f>
        <v>#DIV/0!</v>
      </c>
      <c r="P85" s="9" t="e">
        <f>AVERAGE($P$75:$P$84)</f>
        <v>#DIV/0!</v>
      </c>
      <c r="S85" s="9" t="e">
        <f>AVERAGE($S$75:$S$84)</f>
        <v>#DIV/0!</v>
      </c>
    </row>
    <row r="86" spans="1:21" x14ac:dyDescent="0.35">
      <c r="C86" s="42" t="s">
        <v>14</v>
      </c>
      <c r="D86" s="9" t="e">
        <f>STDEV($D$75:$D$84)</f>
        <v>#DIV/0!</v>
      </c>
      <c r="F86" s="5"/>
      <c r="G86" s="9" t="e">
        <f>STDEV($G$75:$G$84)</f>
        <v>#DIV/0!</v>
      </c>
      <c r="J86" s="9" t="e">
        <f>STDEV(J75:J84)</f>
        <v>#DIV/0!</v>
      </c>
      <c r="L86" s="5"/>
      <c r="M86" s="9" t="e">
        <f>STDEV($M$75:$M$84)</f>
        <v>#DIV/0!</v>
      </c>
      <c r="P86" s="9" t="e">
        <f>STDEV(P75:P84)</f>
        <v>#DIV/0!</v>
      </c>
      <c r="S86" s="9" t="e">
        <f>STDEV($S$75:$S$84)</f>
        <v>#DIV/0!</v>
      </c>
    </row>
    <row r="87" spans="1:21" x14ac:dyDescent="0.35">
      <c r="C87" s="42"/>
      <c r="D87" s="9"/>
      <c r="F87" s="5"/>
      <c r="G87" s="9"/>
      <c r="J87" s="9"/>
      <c r="L87" s="5"/>
      <c r="M87" s="9"/>
      <c r="P87" s="1" t="s">
        <v>2</v>
      </c>
    </row>
    <row r="88" spans="1:21" x14ac:dyDescent="0.35">
      <c r="C88" s="42"/>
      <c r="D88" s="9"/>
      <c r="F88" s="5"/>
      <c r="G88" s="9"/>
      <c r="J88" s="9"/>
      <c r="L88" s="5"/>
      <c r="M88" s="9"/>
    </row>
    <row r="89" spans="1:21" x14ac:dyDescent="0.35">
      <c r="B89" s="85" t="s">
        <v>148</v>
      </c>
      <c r="C89" s="42"/>
      <c r="D89" s="9"/>
      <c r="F89" s="5"/>
      <c r="G89" s="9"/>
      <c r="J89" s="9"/>
      <c r="L89" s="5"/>
      <c r="M89" s="9"/>
      <c r="P89" s="9"/>
    </row>
    <row r="90" spans="1:21" x14ac:dyDescent="0.35">
      <c r="C90" s="42"/>
      <c r="D90" s="9"/>
      <c r="F90" s="5"/>
      <c r="G90" s="9"/>
    </row>
    <row r="91" spans="1: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</row>
    <row r="92" spans="1: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2</v>
      </c>
      <c r="K92" s="7">
        <f>ROUND((J92*100)/$J$101,2)</f>
        <v>25</v>
      </c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</row>
    <row r="93" spans="1:21" x14ac:dyDescent="0.35">
      <c r="A93" s="6">
        <f>A8</f>
        <v>1</v>
      </c>
      <c r="B93" s="6">
        <f t="shared" ref="B93:C93" si="64">B8</f>
        <v>651201149</v>
      </c>
      <c r="C93" s="78" t="str">
        <f t="shared" si="64"/>
        <v>นางสาวปิยวรรณ ขยันพูด</v>
      </c>
      <c r="D93" s="3">
        <f>ROUND(SUM(E8,H8,K8,N8,Q8,T8,E24,H24,K24,N24,Q24,T24,E41,H41,K41,N41,Q41,T41,E58,H58,K58,N58,Q58,T58,E75,H75,K75,N75,Q75,T75),2)</f>
        <v>89.6</v>
      </c>
      <c r="E93" s="8">
        <f>ROUND(SUM(F8,I8,L8,O8,R8,U8,F24,I24,L24,O24,R24,U24,F41,I41,L41,O41,R41,U41,F58,I58,L58,O58,R58,U58,F75,I75,L75,O75,R75,U75),2)</f>
        <v>646.65</v>
      </c>
      <c r="F93" s="204" t="str">
        <f t="shared" ref="F93:F102" si="65">IF(D93=0,"-",IF(D93&gt;=$R$92,$T$92,IF(D93&gt;=$R$93,$T$93,IF(D93&gt;=$R$94,$T$94,IF(D93&gt;=$R$95,$T$95,IF(D93&gt;=$R$96,$T$96,$T$97))))))</f>
        <v>A</v>
      </c>
      <c r="G93" s="204"/>
      <c r="H93" s="80"/>
      <c r="I93" s="81" t="s">
        <v>111</v>
      </c>
      <c r="J93" s="77">
        <f t="shared" ref="J93:J100" si="66">COUNTIF($F$93:$G$102,I93)</f>
        <v>3</v>
      </c>
      <c r="K93" s="7">
        <f t="shared" ref="K93:K101" si="67">ROUND((J93*100)/$J$101,2)</f>
        <v>37.5</v>
      </c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</row>
    <row r="94" spans="1:21" x14ac:dyDescent="0.35">
      <c r="A94" s="6">
        <f t="shared" ref="A94:C102" si="68">A9</f>
        <v>2</v>
      </c>
      <c r="B94" s="6">
        <f t="shared" si="68"/>
        <v>651201150</v>
      </c>
      <c r="C94" s="78" t="str">
        <f t="shared" si="68"/>
        <v>นายปิยวัฒน์ ตลับแก้ว</v>
      </c>
      <c r="D94" s="3">
        <f t="shared" ref="D94:E102" si="69">ROUND(SUM(E9,H9,K9,N9,Q9,T9,E25,H25,K25,N25,Q25,T25,E42,H42,K42,N42,Q42,T42,E59,H59,K59,N59,Q59,T59,E76,H76,K76,N76,Q76,T76),2)</f>
        <v>75.83</v>
      </c>
      <c r="E94" s="8">
        <f t="shared" si="69"/>
        <v>434.8</v>
      </c>
      <c r="F94" s="204" t="str">
        <f t="shared" si="65"/>
        <v>B</v>
      </c>
      <c r="G94" s="204"/>
      <c r="H94" s="80"/>
      <c r="I94" s="77" t="s">
        <v>110</v>
      </c>
      <c r="J94" s="77">
        <f t="shared" si="66"/>
        <v>3</v>
      </c>
      <c r="K94" s="7">
        <f t="shared" si="67"/>
        <v>37.5</v>
      </c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</row>
    <row r="95" spans="1:21" x14ac:dyDescent="0.35">
      <c r="A95" s="6">
        <f t="shared" si="68"/>
        <v>3</v>
      </c>
      <c r="B95" s="6">
        <f t="shared" si="68"/>
        <v>651201151</v>
      </c>
      <c r="C95" s="78" t="str">
        <f t="shared" si="68"/>
        <v>นางสาวปิยะมาศ พงษ์สระพัง</v>
      </c>
      <c r="D95" s="3">
        <f t="shared" si="69"/>
        <v>82.12</v>
      </c>
      <c r="E95" s="8">
        <f t="shared" si="69"/>
        <v>505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</row>
    <row r="96" spans="1:21" x14ac:dyDescent="0.35">
      <c r="A96" s="6">
        <f t="shared" si="68"/>
        <v>4</v>
      </c>
      <c r="B96" s="6">
        <f t="shared" si="68"/>
        <v>651201152</v>
      </c>
      <c r="C96" s="78" t="str">
        <f t="shared" si="68"/>
        <v>นางสาวพนัชกร จุมจนั ทร์</v>
      </c>
      <c r="D96" s="3">
        <f t="shared" si="69"/>
        <v>90.12</v>
      </c>
      <c r="E96" s="8">
        <f t="shared" si="69"/>
        <v>651.58000000000004</v>
      </c>
      <c r="F96" s="204" t="str">
        <f t="shared" si="65"/>
        <v>A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</row>
    <row r="97" spans="1:20" x14ac:dyDescent="0.35">
      <c r="A97" s="6">
        <f t="shared" si="68"/>
        <v>5</v>
      </c>
      <c r="B97" s="6">
        <f t="shared" si="68"/>
        <v>651201153</v>
      </c>
      <c r="C97" s="78" t="str">
        <f t="shared" si="68"/>
        <v>นางสาวพรชิตา บัวสิม</v>
      </c>
      <c r="D97" s="3">
        <f t="shared" si="69"/>
        <v>79.260000000000005</v>
      </c>
      <c r="E97" s="8">
        <f t="shared" si="69"/>
        <v>456.19</v>
      </c>
      <c r="F97" s="204" t="str">
        <f t="shared" si="65"/>
        <v>B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</row>
    <row r="98" spans="1:20" x14ac:dyDescent="0.35">
      <c r="A98" s="6">
        <f t="shared" si="68"/>
        <v>6</v>
      </c>
      <c r="B98" s="6">
        <f t="shared" si="68"/>
        <v>651201154</v>
      </c>
      <c r="C98" s="78" t="str">
        <f t="shared" si="68"/>
        <v>นางสาวพัชราพร ชาลีสูงเนิน</v>
      </c>
      <c r="D98" s="3">
        <f t="shared" si="69"/>
        <v>78.010000000000005</v>
      </c>
      <c r="E98" s="8">
        <f t="shared" si="69"/>
        <v>448.16</v>
      </c>
      <c r="F98" s="204" t="str">
        <f t="shared" si="65"/>
        <v>B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</row>
    <row r="99" spans="1:20" x14ac:dyDescent="0.35">
      <c r="A99" s="6">
        <f t="shared" si="68"/>
        <v>7</v>
      </c>
      <c r="B99" s="6">
        <f t="shared" si="68"/>
        <v>651201155</v>
      </c>
      <c r="C99" s="78" t="str">
        <f t="shared" si="68"/>
        <v>นางสาวพัณณิตา ประสมทรัพย์</v>
      </c>
      <c r="D99" s="3">
        <f t="shared" si="69"/>
        <v>81.67</v>
      </c>
      <c r="E99" s="8">
        <f t="shared" si="69"/>
        <v>515.59</v>
      </c>
      <c r="F99" s="204" t="str">
        <f t="shared" si="65"/>
        <v>B+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</row>
    <row r="100" spans="1:20" x14ac:dyDescent="0.35">
      <c r="A100" s="6">
        <f t="shared" si="68"/>
        <v>8</v>
      </c>
      <c r="B100" s="6">
        <f t="shared" si="68"/>
        <v>651201156</v>
      </c>
      <c r="C100" s="78" t="str">
        <f t="shared" si="68"/>
        <v>นางสาวพิลาวรรณ จันทิมาต</v>
      </c>
      <c r="D100" s="3">
        <f t="shared" si="69"/>
        <v>84.35</v>
      </c>
      <c r="E100" s="8">
        <f t="shared" si="69"/>
        <v>563.94000000000005</v>
      </c>
      <c r="F100" s="204" t="str">
        <f t="shared" si="65"/>
        <v>B+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</row>
    <row r="101" spans="1:20" x14ac:dyDescent="0.35">
      <c r="A101" s="6">
        <f t="shared" si="68"/>
        <v>9</v>
      </c>
      <c r="B101" s="6">
        <f t="shared" si="68"/>
        <v>0</v>
      </c>
      <c r="C101" s="78">
        <f t="shared" si="68"/>
        <v>0</v>
      </c>
      <c r="D101" s="3">
        <f t="shared" si="69"/>
        <v>0</v>
      </c>
      <c r="E101" s="8">
        <f t="shared" si="69"/>
        <v>0</v>
      </c>
      <c r="F101" s="204" t="str">
        <f t="shared" si="65"/>
        <v>-</v>
      </c>
      <c r="G101" s="204"/>
      <c r="H101" s="80"/>
      <c r="I101" s="83" t="s">
        <v>1</v>
      </c>
      <c r="J101" s="83">
        <f>SUM(J92:J100)</f>
        <v>8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</row>
    <row r="102" spans="1:20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</row>
    <row r="103" spans="1:20" x14ac:dyDescent="0.35">
      <c r="C103" s="79"/>
      <c r="D103" s="19"/>
      <c r="E103" s="19"/>
      <c r="F103" s="42"/>
      <c r="G103" s="42"/>
      <c r="H103" s="42"/>
      <c r="I103" s="42"/>
    </row>
    <row r="104" spans="1:20" x14ac:dyDescent="0.35">
      <c r="I104" s="45"/>
      <c r="J104" s="45"/>
    </row>
    <row r="105" spans="1:20" x14ac:dyDescent="0.35">
      <c r="B105" s="85" t="s">
        <v>147</v>
      </c>
      <c r="I105" s="45"/>
      <c r="J105" s="45"/>
      <c r="K105" s="45"/>
      <c r="L105" s="1" t="s">
        <v>2</v>
      </c>
    </row>
    <row r="106" spans="1:20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I106" s="5" t="s">
        <v>38</v>
      </c>
      <c r="J106" s="9"/>
      <c r="L106" s="5"/>
      <c r="O106" s="5" t="s">
        <v>39</v>
      </c>
      <c r="Q106" s="9"/>
    </row>
    <row r="107" spans="1:20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</row>
    <row r="108" spans="1:20" x14ac:dyDescent="0.35">
      <c r="A108" s="6">
        <f>A8</f>
        <v>1</v>
      </c>
      <c r="B108" s="6">
        <f t="shared" ref="B108:C108" si="70">B8</f>
        <v>651201149</v>
      </c>
      <c r="C108" s="78" t="str">
        <f t="shared" si="70"/>
        <v>นางสาวปิยวรรณ ขยันพูด</v>
      </c>
      <c r="D108" s="3">
        <f>ROUND(SUM(E8,H8,K8,N8,Q8,T8,E24,H24,K24,N24,Q24,T24,E41,H41,K41,N41,Q41,T41,E58,H58,K58,N58,Q58,T58,E75,H75,K75,N75,Q75,T75),2)</f>
        <v>89.6</v>
      </c>
      <c r="E108" s="3">
        <f>ROUND(SUM(F8,I8,L8,O8,R8,U8,F24,I24,L24,O24,R24,U24,F41,I41,L41,O41,R41,U41,F58,I58,L58,O58,R58,U58,F75,I75,L75,O75,R75,U75),2)</f>
        <v>646.65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A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</row>
    <row r="109" spans="1:20" x14ac:dyDescent="0.35">
      <c r="A109" s="6">
        <f t="shared" ref="A109:C117" si="72">A9</f>
        <v>2</v>
      </c>
      <c r="B109" s="6">
        <f t="shared" si="72"/>
        <v>651201150</v>
      </c>
      <c r="C109" s="78" t="str">
        <f t="shared" si="72"/>
        <v>นายปิยวัฒน์ ตลับแก้ว</v>
      </c>
      <c r="D109" s="3">
        <f t="shared" ref="D109:E117" si="73">ROUND(SUM(E9,H9,K9,N9,Q9,T9,E25,H25,K25,N25,Q25,T25,E42,H42,K42,N42,Q42,T42,E59,H59,K59,N59,Q59,T59,E76,H76,K76,N76,Q76,T76),2)</f>
        <v>75.83</v>
      </c>
      <c r="E109" s="3">
        <f t="shared" si="73"/>
        <v>434.8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B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</row>
    <row r="110" spans="1:20" x14ac:dyDescent="0.35">
      <c r="A110" s="6">
        <f t="shared" si="72"/>
        <v>3</v>
      </c>
      <c r="B110" s="6">
        <f t="shared" si="72"/>
        <v>651201151</v>
      </c>
      <c r="C110" s="78" t="str">
        <f t="shared" si="72"/>
        <v>นางสาวปิยะมาศ พงษ์สระพัง</v>
      </c>
      <c r="D110" s="3">
        <f t="shared" si="73"/>
        <v>82.12</v>
      </c>
      <c r="E110" s="3">
        <f t="shared" si="73"/>
        <v>505</v>
      </c>
      <c r="F110" s="7" t="str">
        <f t="shared" si="74"/>
        <v>B+</v>
      </c>
      <c r="G110" s="7" t="str">
        <f t="shared" si="75"/>
        <v>-</v>
      </c>
      <c r="I110" s="47">
        <f>IF(OR($E$128=8,$E$128=6,$E$128=4),$J$111+0.01,"-")</f>
        <v>632.01</v>
      </c>
      <c r="J110" s="47">
        <f>IF(OR($E$128=8,$E$128=6,$E$128=4),$I$110+$E$129,"-")</f>
        <v>794.91</v>
      </c>
      <c r="K110" s="91">
        <f t="shared" si="76"/>
        <v>162.89999999999998</v>
      </c>
      <c r="L110" s="7" t="str">
        <f>IF($E$128=8,$C$126,IF($E$128=6,$C$125,IF($E$128=4,$C$124,"-")))</f>
        <v>A</v>
      </c>
      <c r="M110" s="27">
        <f t="shared" si="77"/>
        <v>2</v>
      </c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</row>
    <row r="111" spans="1:20" x14ac:dyDescent="0.35">
      <c r="A111" s="6">
        <f t="shared" si="72"/>
        <v>4</v>
      </c>
      <c r="B111" s="6">
        <f t="shared" si="72"/>
        <v>651201152</v>
      </c>
      <c r="C111" s="78" t="str">
        <f t="shared" si="72"/>
        <v>นางสาวพนัชกร จุมจนั ทร์</v>
      </c>
      <c r="D111" s="3">
        <f t="shared" si="73"/>
        <v>90.12</v>
      </c>
      <c r="E111" s="3">
        <f t="shared" si="73"/>
        <v>651.58000000000004</v>
      </c>
      <c r="F111" s="7" t="str">
        <f t="shared" si="74"/>
        <v>A</v>
      </c>
      <c r="G111" s="7" t="str">
        <f t="shared" si="75"/>
        <v>-</v>
      </c>
      <c r="I111" s="88">
        <f>IF(OR($E$128=2,$E$128=4,$E$128=6,$E$128=8),$E$124,"-")</f>
        <v>469.1</v>
      </c>
      <c r="J111" s="61">
        <f>IF(OR($E$128=2,$E$128=4,$E$128=6,$E$128=8),$E$124+E129,"-")</f>
        <v>632</v>
      </c>
      <c r="K111" s="91">
        <f t="shared" si="76"/>
        <v>162.89999999999998</v>
      </c>
      <c r="L111" s="7" t="str">
        <f>IF($E$128=8,$C$127,IF($E$128=6,$C$126,IF($E$128=4,$C$125,IF($E$128=2,$C$124,"-"))))</f>
        <v>B+</v>
      </c>
      <c r="M111" s="27">
        <f t="shared" si="77"/>
        <v>3</v>
      </c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</row>
    <row r="112" spans="1:20" x14ac:dyDescent="0.35">
      <c r="A112" s="6">
        <f t="shared" si="72"/>
        <v>5</v>
      </c>
      <c r="B112" s="6">
        <f t="shared" si="72"/>
        <v>651201153</v>
      </c>
      <c r="C112" s="78" t="str">
        <f t="shared" si="72"/>
        <v>นางสาวพรชิตา บัวสิม</v>
      </c>
      <c r="D112" s="3">
        <f t="shared" si="73"/>
        <v>79.260000000000005</v>
      </c>
      <c r="E112" s="3">
        <f t="shared" si="73"/>
        <v>456.19</v>
      </c>
      <c r="F112" s="7" t="str">
        <f t="shared" si="74"/>
        <v>B</v>
      </c>
      <c r="G112" s="7" t="str">
        <f t="shared" si="75"/>
        <v>-</v>
      </c>
      <c r="I112" s="47">
        <f>IF(OR($E$128=2,$E$128=4,$E$128=6,$E$128=8),$J$112-$E$129,"-")</f>
        <v>306.19000000000005</v>
      </c>
      <c r="J112" s="61">
        <f>IF(OR($E$128=2,$E$128=4,$E$128=6,$E$128=8),$E$124-0.01,"-")</f>
        <v>469.09000000000003</v>
      </c>
      <c r="K112" s="91">
        <f t="shared" si="76"/>
        <v>162.89999999999998</v>
      </c>
      <c r="L112" s="7" t="str">
        <f>IF($E$128=8,$C$128,IF($E$128=6,$C$127,IF($E$128=4,$C$126,IF($E$128=2,$C$125,"-"))))</f>
        <v>B</v>
      </c>
      <c r="M112" s="27">
        <f t="shared" si="77"/>
        <v>3</v>
      </c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</row>
    <row r="113" spans="1:20" x14ac:dyDescent="0.35">
      <c r="A113" s="6">
        <f t="shared" si="72"/>
        <v>6</v>
      </c>
      <c r="B113" s="6">
        <f t="shared" si="72"/>
        <v>651201154</v>
      </c>
      <c r="C113" s="78" t="str">
        <f t="shared" si="72"/>
        <v>นางสาวพัชราพร ชาลีสูงเนิน</v>
      </c>
      <c r="D113" s="3">
        <f t="shared" si="73"/>
        <v>78.010000000000005</v>
      </c>
      <c r="E113" s="3">
        <f t="shared" si="73"/>
        <v>448.16</v>
      </c>
      <c r="F113" s="7" t="str">
        <f t="shared" si="74"/>
        <v>B</v>
      </c>
      <c r="G113" s="7" t="str">
        <f t="shared" si="75"/>
        <v>-</v>
      </c>
      <c r="I113" s="47">
        <f>IF(OR($E$128=4,$E$128=6,$E$128=8),$J$113-$E$129,"-")</f>
        <v>143.28000000000006</v>
      </c>
      <c r="J113" s="47">
        <f>IF(OR($E$128=8,$E$128=6,$E$128=4),$I$112-0.01,"-")</f>
        <v>306.18000000000006</v>
      </c>
      <c r="K113" s="91">
        <f t="shared" si="76"/>
        <v>162.9</v>
      </c>
      <c r="L113" s="7" t="str">
        <f>IF($E$128=8,$C$129,IF($E$128=6,$C$128,IF($E$128=4,$C$127,"-")))</f>
        <v>C+</v>
      </c>
      <c r="M113" s="27">
        <f t="shared" si="77"/>
        <v>0</v>
      </c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</row>
    <row r="114" spans="1:20" ht="22" thickBot="1" x14ac:dyDescent="0.4">
      <c r="A114" s="6">
        <f t="shared" si="72"/>
        <v>7</v>
      </c>
      <c r="B114" s="6">
        <f t="shared" si="72"/>
        <v>651201155</v>
      </c>
      <c r="C114" s="78" t="str">
        <f t="shared" si="72"/>
        <v>นางสาวพัณณิตา ประสมทรัพย์</v>
      </c>
      <c r="D114" s="3">
        <f t="shared" si="73"/>
        <v>81.67</v>
      </c>
      <c r="E114" s="3">
        <f t="shared" si="73"/>
        <v>515.59</v>
      </c>
      <c r="F114" s="7" t="str">
        <f t="shared" si="74"/>
        <v>B+</v>
      </c>
      <c r="G114" s="7" t="str">
        <f t="shared" si="75"/>
        <v>-</v>
      </c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</row>
    <row r="115" spans="1:20" ht="22" thickBot="1" x14ac:dyDescent="0.4">
      <c r="A115" s="6">
        <f t="shared" si="72"/>
        <v>8</v>
      </c>
      <c r="B115" s="6">
        <f t="shared" si="72"/>
        <v>651201156</v>
      </c>
      <c r="C115" s="78" t="str">
        <f t="shared" si="72"/>
        <v>นางสาวพิลาวรรณ จันทิมาต</v>
      </c>
      <c r="D115" s="3">
        <f t="shared" si="73"/>
        <v>84.35</v>
      </c>
      <c r="E115" s="3">
        <f t="shared" si="73"/>
        <v>563.94000000000005</v>
      </c>
      <c r="F115" s="7" t="str">
        <f t="shared" si="74"/>
        <v>B+</v>
      </c>
      <c r="G115" s="7" t="str">
        <f t="shared" si="75"/>
        <v>-</v>
      </c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O115" s="259" t="s">
        <v>1</v>
      </c>
      <c r="P115" s="259"/>
      <c r="Q115" s="259"/>
      <c r="R115" s="259"/>
      <c r="S115" s="259"/>
      <c r="T115" s="94">
        <f>SUM(T108:T114)</f>
        <v>0</v>
      </c>
    </row>
    <row r="116" spans="1:20" ht="22" thickBot="1" x14ac:dyDescent="0.4">
      <c r="A116" s="6">
        <f t="shared" si="72"/>
        <v>9</v>
      </c>
      <c r="B116" s="6">
        <f t="shared" si="72"/>
        <v>0</v>
      </c>
      <c r="C116" s="78">
        <f t="shared" si="72"/>
        <v>0</v>
      </c>
      <c r="D116" s="3">
        <f t="shared" si="73"/>
        <v>0</v>
      </c>
      <c r="E116" s="3">
        <f t="shared" si="73"/>
        <v>0</v>
      </c>
      <c r="F116" s="7" t="str">
        <f t="shared" si="74"/>
        <v>I/E</v>
      </c>
      <c r="G116" s="7" t="str">
        <f t="shared" si="75"/>
        <v>-</v>
      </c>
      <c r="I116" s="218" t="s">
        <v>1</v>
      </c>
      <c r="J116" s="219"/>
      <c r="K116" s="219"/>
      <c r="L116" s="220"/>
      <c r="M116" s="94">
        <f>SUM(M108:M115)</f>
        <v>8</v>
      </c>
    </row>
    <row r="117" spans="1:20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</row>
    <row r="118" spans="1:20" x14ac:dyDescent="0.35">
      <c r="C118" s="79"/>
      <c r="D118" s="9"/>
      <c r="E118" s="9"/>
      <c r="F118" s="42"/>
      <c r="G118" s="42"/>
    </row>
    <row r="119" spans="1:20" x14ac:dyDescent="0.35">
      <c r="C119" s="79"/>
      <c r="D119" s="9"/>
      <c r="E119" s="9"/>
      <c r="F119" s="42"/>
      <c r="G119" s="42"/>
    </row>
    <row r="120" spans="1:20" x14ac:dyDescent="0.35">
      <c r="C120" s="79"/>
      <c r="D120" s="9"/>
      <c r="E120" s="9"/>
      <c r="F120" s="42"/>
      <c r="G120" s="42"/>
    </row>
    <row r="121" spans="1:20" x14ac:dyDescent="0.35">
      <c r="C121" s="79"/>
      <c r="D121" s="9"/>
      <c r="E121" s="9"/>
      <c r="F121" s="42"/>
      <c r="G121" s="42"/>
    </row>
    <row r="122" spans="1:20" x14ac:dyDescent="0.35">
      <c r="C122" s="79"/>
      <c r="D122" s="9"/>
      <c r="E122" s="9"/>
      <c r="F122" s="42"/>
      <c r="G122" s="42"/>
    </row>
    <row r="124" spans="1:20" x14ac:dyDescent="0.35"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469.1</v>
      </c>
    </row>
    <row r="125" spans="1:20" x14ac:dyDescent="0.35"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651.58000000000004</v>
      </c>
      <c r="O125" s="1" t="s">
        <v>154</v>
      </c>
    </row>
    <row r="126" spans="1:20" x14ac:dyDescent="0.35"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0</v>
      </c>
      <c r="O126" s="1">
        <v>1</v>
      </c>
      <c r="P126" s="1" t="s">
        <v>137</v>
      </c>
    </row>
    <row r="127" spans="1:20" x14ac:dyDescent="0.35"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651.58000000000004</v>
      </c>
      <c r="O127" s="1">
        <v>2</v>
      </c>
      <c r="P127" s="1" t="s">
        <v>155</v>
      </c>
    </row>
    <row r="128" spans="1:20" x14ac:dyDescent="0.35"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O128" s="1">
        <v>3</v>
      </c>
      <c r="P128" s="1" t="s">
        <v>156</v>
      </c>
    </row>
    <row r="129" spans="1:19" x14ac:dyDescent="0.35"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162.9</v>
      </c>
      <c r="O129" s="202"/>
      <c r="P129" s="202"/>
      <c r="Q129" s="202"/>
      <c r="R129" s="202"/>
      <c r="S129" s="202"/>
    </row>
    <row r="130" spans="1:19" x14ac:dyDescent="0.35"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O130" s="202"/>
      <c r="P130" s="202"/>
      <c r="Q130" s="202"/>
      <c r="R130" s="202"/>
      <c r="S130" s="202"/>
    </row>
    <row r="131" spans="1:19" x14ac:dyDescent="0.35">
      <c r="B131" s="6">
        <f>$B$124-3.5</f>
        <v>0.5</v>
      </c>
      <c r="C131" s="6" t="str">
        <f t="shared" si="80"/>
        <v>E</v>
      </c>
      <c r="O131" s="221"/>
      <c r="P131" s="221"/>
      <c r="Q131" s="221"/>
      <c r="R131" s="221"/>
      <c r="S131" s="221"/>
    </row>
    <row r="132" spans="1:19" x14ac:dyDescent="0.35">
      <c r="B132" s="6">
        <f>$B$124-4</f>
        <v>0</v>
      </c>
      <c r="C132" s="6" t="str">
        <f>IF(B132=4,"A",IF(B132=3.5,"B+",IF(B132=3,"B",IF(B132=2.5,"C+",IF(B132=2,"C",IF(B132=1.5,"D+",IF(B132=1,"D","E")))))))</f>
        <v>E</v>
      </c>
    </row>
    <row r="136" spans="1:19" x14ac:dyDescent="0.35">
      <c r="C136" s="256" t="s">
        <v>188</v>
      </c>
      <c r="D136" s="256"/>
      <c r="E136" s="256"/>
      <c r="G136" s="1">
        <v>1</v>
      </c>
    </row>
    <row r="137" spans="1:19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</row>
    <row r="138" spans="1:19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</row>
    <row r="139" spans="1:19" x14ac:dyDescent="0.35">
      <c r="A139" s="6">
        <f>A8</f>
        <v>1</v>
      </c>
      <c r="B139" s="6">
        <f t="shared" ref="B139:C139" si="81">B8</f>
        <v>651201149</v>
      </c>
      <c r="C139" s="78" t="str">
        <f t="shared" si="81"/>
        <v>นางสาวปิยวรรณ ขยันพูด</v>
      </c>
      <c r="D139" s="3">
        <f>D93</f>
        <v>89.6</v>
      </c>
      <c r="E139" s="3">
        <f>E93</f>
        <v>646.65</v>
      </c>
      <c r="F139" s="204" t="str">
        <f>IF($G$136=1,F93,IF($G$136=2,F108,G108))</f>
        <v>A</v>
      </c>
      <c r="G139" s="204"/>
    </row>
    <row r="140" spans="1:19" x14ac:dyDescent="0.35">
      <c r="A140" s="6">
        <f t="shared" ref="A140:C148" si="82">A9</f>
        <v>2</v>
      </c>
      <c r="B140" s="6">
        <f t="shared" si="82"/>
        <v>651201150</v>
      </c>
      <c r="C140" s="78" t="str">
        <f t="shared" si="82"/>
        <v>นายปิยวัฒน์ ตลับแก้ว</v>
      </c>
      <c r="D140" s="3">
        <f t="shared" ref="D140:E148" si="83">D94</f>
        <v>75.83</v>
      </c>
      <c r="E140" s="3">
        <f t="shared" si="83"/>
        <v>434.8</v>
      </c>
      <c r="F140" s="204" t="str">
        <f t="shared" ref="F140:F148" si="84">IF($G$136=1,F94,IF($G$136=2,F109,G109))</f>
        <v>B</v>
      </c>
      <c r="G140" s="204"/>
    </row>
    <row r="141" spans="1:19" x14ac:dyDescent="0.35">
      <c r="A141" s="6">
        <f t="shared" si="82"/>
        <v>3</v>
      </c>
      <c r="B141" s="6">
        <f t="shared" si="82"/>
        <v>651201151</v>
      </c>
      <c r="C141" s="78" t="str">
        <f t="shared" si="82"/>
        <v>นางสาวปิยะมาศ พงษ์สระพัง</v>
      </c>
      <c r="D141" s="3">
        <f t="shared" si="83"/>
        <v>82.12</v>
      </c>
      <c r="E141" s="3">
        <f t="shared" si="83"/>
        <v>505</v>
      </c>
      <c r="F141" s="204" t="str">
        <f t="shared" si="84"/>
        <v>B+</v>
      </c>
      <c r="G141" s="204"/>
    </row>
    <row r="142" spans="1:19" x14ac:dyDescent="0.35">
      <c r="A142" s="6">
        <f t="shared" si="82"/>
        <v>4</v>
      </c>
      <c r="B142" s="6">
        <f t="shared" si="82"/>
        <v>651201152</v>
      </c>
      <c r="C142" s="78" t="str">
        <f t="shared" si="82"/>
        <v>นางสาวพนัชกร จุมจนั ทร์</v>
      </c>
      <c r="D142" s="3">
        <f t="shared" si="83"/>
        <v>90.12</v>
      </c>
      <c r="E142" s="3">
        <f t="shared" si="83"/>
        <v>651.58000000000004</v>
      </c>
      <c r="F142" s="204" t="str">
        <f t="shared" si="84"/>
        <v>A</v>
      </c>
      <c r="G142" s="204"/>
    </row>
    <row r="143" spans="1:19" x14ac:dyDescent="0.35">
      <c r="A143" s="6">
        <f t="shared" si="82"/>
        <v>5</v>
      </c>
      <c r="B143" s="6">
        <f t="shared" si="82"/>
        <v>651201153</v>
      </c>
      <c r="C143" s="78" t="str">
        <f t="shared" si="82"/>
        <v>นางสาวพรชิตา บัวสิม</v>
      </c>
      <c r="D143" s="3">
        <f t="shared" si="83"/>
        <v>79.260000000000005</v>
      </c>
      <c r="E143" s="3">
        <f t="shared" si="83"/>
        <v>456.19</v>
      </c>
      <c r="F143" s="204" t="str">
        <f t="shared" si="84"/>
        <v>B</v>
      </c>
      <c r="G143" s="204"/>
    </row>
    <row r="144" spans="1:19" x14ac:dyDescent="0.35">
      <c r="A144" s="6">
        <f t="shared" si="82"/>
        <v>6</v>
      </c>
      <c r="B144" s="6">
        <f t="shared" si="82"/>
        <v>651201154</v>
      </c>
      <c r="C144" s="78" t="str">
        <f t="shared" si="82"/>
        <v>นางสาวพัชราพร ชาลีสูงเนิน</v>
      </c>
      <c r="D144" s="3">
        <f t="shared" si="83"/>
        <v>78.010000000000005</v>
      </c>
      <c r="E144" s="3">
        <f t="shared" si="83"/>
        <v>448.16</v>
      </c>
      <c r="F144" s="204" t="str">
        <f t="shared" si="84"/>
        <v>B</v>
      </c>
      <c r="G144" s="204"/>
    </row>
    <row r="145" spans="1:7" x14ac:dyDescent="0.35">
      <c r="A145" s="6">
        <f t="shared" si="82"/>
        <v>7</v>
      </c>
      <c r="B145" s="6">
        <f t="shared" si="82"/>
        <v>651201155</v>
      </c>
      <c r="C145" s="78" t="str">
        <f t="shared" si="82"/>
        <v>นางสาวพัณณิตา ประสมทรัพย์</v>
      </c>
      <c r="D145" s="3">
        <f t="shared" si="83"/>
        <v>81.67</v>
      </c>
      <c r="E145" s="3">
        <f t="shared" si="83"/>
        <v>515.59</v>
      </c>
      <c r="F145" s="204" t="str">
        <f t="shared" si="84"/>
        <v>B+</v>
      </c>
      <c r="G145" s="204"/>
    </row>
    <row r="146" spans="1:7" x14ac:dyDescent="0.35">
      <c r="A146" s="6">
        <f t="shared" si="82"/>
        <v>8</v>
      </c>
      <c r="B146" s="6">
        <f t="shared" si="82"/>
        <v>651201156</v>
      </c>
      <c r="C146" s="78" t="str">
        <f t="shared" si="82"/>
        <v>นางสาวพิลาวรรณ จันทิมาต</v>
      </c>
      <c r="D146" s="3">
        <f t="shared" si="83"/>
        <v>84.35</v>
      </c>
      <c r="E146" s="3">
        <f t="shared" si="83"/>
        <v>563.94000000000005</v>
      </c>
      <c r="F146" s="204" t="str">
        <f t="shared" si="84"/>
        <v>B+</v>
      </c>
      <c r="G146" s="204"/>
    </row>
    <row r="147" spans="1:7" x14ac:dyDescent="0.35">
      <c r="A147" s="6">
        <f t="shared" si="82"/>
        <v>9</v>
      </c>
      <c r="B147" s="6">
        <f t="shared" si="82"/>
        <v>0</v>
      </c>
      <c r="C147" s="78">
        <f t="shared" si="82"/>
        <v>0</v>
      </c>
      <c r="D147" s="3">
        <f t="shared" si="83"/>
        <v>0</v>
      </c>
      <c r="E147" s="3">
        <f t="shared" si="83"/>
        <v>0</v>
      </c>
      <c r="F147" s="204" t="str">
        <f t="shared" si="84"/>
        <v>-</v>
      </c>
      <c r="G147" s="204"/>
    </row>
    <row r="148" spans="1:7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</row>
  </sheetData>
  <sheetProtection selectLockedCells="1"/>
  <protectedRanges>
    <protectedRange sqref="A8:D17" name="ช่วง1"/>
  </protectedRanges>
  <mergeCells count="100"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139:G139"/>
    <mergeCell ref="O115:S115"/>
    <mergeCell ref="I116:L116"/>
    <mergeCell ref="O129:S129"/>
    <mergeCell ref="O130:S130"/>
    <mergeCell ref="O131:S131"/>
    <mergeCell ref="A137:A138"/>
    <mergeCell ref="B137:B138"/>
    <mergeCell ref="C137:C138"/>
    <mergeCell ref="D137:G137"/>
    <mergeCell ref="F138:G138"/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</mergeCells>
  <pageMargins left="0.70866141732283472" right="0.70866141732283472" top="0.31496062992125984" bottom="0.19685039370078741" header="0.31496062992125984" footer="0.19685039370078741"/>
  <pageSetup paperSize="9" scale="66" orientation="landscape" verticalDpi="300" r:id="rId1"/>
  <rowBreaks count="3" manualBreakCount="3">
    <brk id="36" max="16383" man="1"/>
    <brk id="70" max="20" man="1"/>
    <brk id="8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7</xdr:col>
                    <xdr:colOff>25400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U148"/>
  <sheetViews>
    <sheetView view="pageBreakPreview" zoomScale="75" zoomScaleSheetLayoutView="80" workbookViewId="0">
      <selection sqref="A1:U3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9" style="1" customWidth="1"/>
    <col min="5" max="5" width="6.5" style="1" customWidth="1"/>
    <col min="6" max="6" width="8.83203125" style="1" customWidth="1"/>
    <col min="7" max="7" width="7.6640625" style="1" customWidth="1"/>
    <col min="8" max="8" width="9" style="1" customWidth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7.1640625" style="1" customWidth="1"/>
    <col min="17" max="18" width="7.6640625" style="1" customWidth="1"/>
    <col min="19" max="19" width="6.6640625" style="1" customWidth="1"/>
    <col min="20" max="16384" width="9" style="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x14ac:dyDescent="0.35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213</v>
      </c>
      <c r="Q5" s="248"/>
      <c r="R5" s="248"/>
      <c r="S5" s="248" t="s">
        <v>214</v>
      </c>
      <c r="T5" s="248"/>
      <c r="U5" s="248"/>
    </row>
    <row r="6" spans="1:21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94">
        <v>651201157</v>
      </c>
      <c r="C8" s="294" t="s">
        <v>273</v>
      </c>
      <c r="D8" s="69">
        <f>ROUND(((3.5/4)*175)*1.025,0)</f>
        <v>157</v>
      </c>
      <c r="E8" s="8">
        <f>IF(D8="-","-",IF(D8=0,0,(D8*$E$7)/$D$7))</f>
        <v>53.828571428571429</v>
      </c>
      <c r="F8" s="3">
        <f>IF(D8="-","-",IF(D8=0,0,IF($D$19=0,50,(50+(10*(STANDARDIZE(D8,$D$18,$D$19)))))*$F$7))</f>
        <v>351.5954621929551</v>
      </c>
      <c r="G8" s="69">
        <v>56</v>
      </c>
      <c r="H8" s="8">
        <f>IF(G8="-","-",IF(G8=0,0,(G8*$H$7)/$G$7))</f>
        <v>7.4666666666666668</v>
      </c>
      <c r="I8" s="3">
        <f>IF(G8="-","-",IF(G8=0,0,IF($G$19=0,50,(50+(10*(STANDARDIZE(G8,$G$18,$G$19)))))*$I$7))</f>
        <v>51.261830350602608</v>
      </c>
      <c r="J8" s="69">
        <v>37</v>
      </c>
      <c r="K8" s="8">
        <f>IF(J8="-","-",IF(J8=0,0,(J8*$K$7)/$J$7))</f>
        <v>7.4</v>
      </c>
      <c r="L8" s="3">
        <f>IF(J8="-","-",IF(J8=0,0,IF(J19=0,50,(50+(10*(STANDARDIZE(J8,$J$18,$J$19)))))*$L$7))</f>
        <v>38.445066702205359</v>
      </c>
      <c r="M8" s="69">
        <v>22</v>
      </c>
      <c r="N8" s="8">
        <f>IF(M8="-","-",IF(M8=0,0,(M8*$N$7)/$M$7))</f>
        <v>3.6666666666666665</v>
      </c>
      <c r="O8" s="3">
        <f>IF(M8="-","-",IF(M8=0,0,IF($M$19=0,50,(50+(10*(STANDARDIZE(M8,$M$18,$M$19)))))*$O$7))</f>
        <v>21.166010256675634</v>
      </c>
      <c r="P8" s="69">
        <f>ROUND(90*78%,0)</f>
        <v>70</v>
      </c>
      <c r="Q8" s="8">
        <f>IF(P8="-","-",IF(P8=0,0,(P8*$Q$7)/$P$7))</f>
        <v>7.7777777777777777</v>
      </c>
      <c r="R8" s="3">
        <f>IF(P8="-","-",IF(P8=0,0,IF($P$19=0,50,(50+(10*(STANDARDIZE(P8,$P$18,$P$19)))))*$R$7))</f>
        <v>50</v>
      </c>
      <c r="S8">
        <v>13</v>
      </c>
      <c r="T8" s="8">
        <f>IF(S8="-","-",IF(S8=0,0,(S8*$T$7)/$S$7))</f>
        <v>3.25</v>
      </c>
      <c r="U8" s="3">
        <f>IF(S8="-","-",IF(S8=0,0,IF($S$19=0,50,(50+(10*(STANDARDIZE(S8,$S$18,$S$19)))))*$U$7))</f>
        <v>53.134823050763735</v>
      </c>
    </row>
    <row r="9" spans="1:21" ht="27" x14ac:dyDescent="0.45">
      <c r="A9" s="95">
        <v>2</v>
      </c>
      <c r="B9" s="295">
        <v>651201158</v>
      </c>
      <c r="C9" s="295" t="s">
        <v>274</v>
      </c>
      <c r="D9" s="296"/>
      <c r="E9" s="8">
        <f t="shared" ref="E9:E17" si="0">IF(D9="-","-",IF(D9=0,0,(D9*$E$7)/$D$7))</f>
        <v>0</v>
      </c>
      <c r="F9" s="3">
        <f t="shared" ref="F9:F16" si="1">IF(D9="-","-",IF(D9=0,0,IF($D$19=0,50,(50+(10*(STANDARDIZE(D9,$D$18,$D$19)))))*$F$7))</f>
        <v>0</v>
      </c>
      <c r="G9" s="296"/>
      <c r="H9" s="8">
        <f t="shared" ref="H9:H17" si="2">IF(G9="-","-",IF(G9=0,0,(G9*$H$7)/$G$7))</f>
        <v>0</v>
      </c>
      <c r="I9" s="3">
        <f t="shared" ref="I9:I17" si="3">IF(G9="-","-",IF(G9=0,0,IF($G$19=0,50,(50+(10*(STANDARDIZE(G9,$G$18,$G$19)))))*$I$7))</f>
        <v>0</v>
      </c>
      <c r="J9" s="296"/>
      <c r="K9" s="8">
        <f t="shared" ref="K9:K17" si="4">IF(J9="-","-",IF(J9=0,0,(J9*$K$7)/$J$7))</f>
        <v>0</v>
      </c>
      <c r="L9" s="3">
        <f t="shared" ref="L9:L17" si="5">IF(J9="-","-",IF(J9=0,0,IF(J20=0,50,(50+(10*(STANDARDIZE(J9,$J$18,$J$19)))))*$L$7))</f>
        <v>0</v>
      </c>
      <c r="M9" s="296"/>
      <c r="N9" s="8">
        <f t="shared" ref="N9:N17" si="6">IF(M9="-","-",IF(M9=0,0,(M9*$N$7)/$M$7))</f>
        <v>0</v>
      </c>
      <c r="O9" s="3">
        <f t="shared" ref="O9:O17" si="7">IF(M9="-","-",IF(M9=0,0,IF($M$19=0,50,(50+(10*(STANDARDIZE(M9,$M$18,$M$19)))))*$O$7))</f>
        <v>0</v>
      </c>
      <c r="P9" s="296"/>
      <c r="Q9" s="8">
        <f t="shared" ref="Q9:Q17" si="8">IF(P9="-","-",IF(P9=0,0,(P9*$Q$7)/$P$7))</f>
        <v>0</v>
      </c>
      <c r="R9" s="3">
        <f t="shared" ref="R9:R17" si="9">IF(P9="-","-",IF(P9=0,0,IF($P$19=0,50,(50+(10*(STANDARDIZE(P9,$P$18,$P$19)))))*$R$7))</f>
        <v>0</v>
      </c>
      <c r="S9" s="196"/>
      <c r="T9" s="8">
        <f t="shared" ref="T9:T17" si="10">IF(S9="-","-",IF(S9=0,0,(S9*$T$7)/$S$7))</f>
        <v>0</v>
      </c>
      <c r="U9" s="3">
        <f t="shared" ref="U9:U17" si="11">IF(S9="-","-",IF(S9=0,0,IF($S$19=0,50,(50+(10*(STANDARDIZE(S9,$S$18,$S$19)))))*$U$7))</f>
        <v>0</v>
      </c>
    </row>
    <row r="10" spans="1:21" ht="27" x14ac:dyDescent="0.45">
      <c r="A10" s="95">
        <v>3</v>
      </c>
      <c r="B10" s="294">
        <v>651201159</v>
      </c>
      <c r="C10" s="294" t="s">
        <v>275</v>
      </c>
      <c r="D10" s="69">
        <f>ROUND(((3.25/4)*175)*1.05,0)</f>
        <v>149</v>
      </c>
      <c r="E10" s="8">
        <f t="shared" si="0"/>
        <v>51.085714285714289</v>
      </c>
      <c r="F10" s="3">
        <f t="shared" si="1"/>
        <v>316.35953679288821</v>
      </c>
      <c r="G10" s="69">
        <v>62</v>
      </c>
      <c r="H10" s="8">
        <f t="shared" si="2"/>
        <v>8.2666666666666675</v>
      </c>
      <c r="I10" s="3">
        <f t="shared" si="3"/>
        <v>60.094642804820893</v>
      </c>
      <c r="J10" s="69">
        <v>43</v>
      </c>
      <c r="K10" s="8">
        <f t="shared" si="4"/>
        <v>8.6</v>
      </c>
      <c r="L10" s="3">
        <f t="shared" si="5"/>
        <v>50</v>
      </c>
      <c r="M10" s="69">
        <v>26</v>
      </c>
      <c r="N10" s="8">
        <f t="shared" si="6"/>
        <v>4.333333333333333</v>
      </c>
      <c r="O10" s="3">
        <f t="shared" si="7"/>
        <v>28.32279111088112</v>
      </c>
      <c r="P10" s="69">
        <f t="shared" ref="P10:P15" si="12">ROUND(90*78%,0)</f>
        <v>70</v>
      </c>
      <c r="Q10" s="8">
        <f t="shared" si="8"/>
        <v>7.7777777777777777</v>
      </c>
      <c r="R10" s="3">
        <f t="shared" si="9"/>
        <v>50</v>
      </c>
      <c r="S10">
        <v>12</v>
      </c>
      <c r="T10" s="8">
        <f t="shared" si="10"/>
        <v>3</v>
      </c>
      <c r="U10" s="3">
        <f t="shared" si="11"/>
        <v>49.477529491539379</v>
      </c>
    </row>
    <row r="11" spans="1:21" ht="27" x14ac:dyDescent="0.45">
      <c r="A11" s="95">
        <v>4</v>
      </c>
      <c r="B11" s="294">
        <v>651201160</v>
      </c>
      <c r="C11" s="294" t="s">
        <v>276</v>
      </c>
      <c r="D11" s="69">
        <f>ROUND(((3/4)*175)*1.05,0)</f>
        <v>138</v>
      </c>
      <c r="E11" s="8">
        <f t="shared" si="0"/>
        <v>47.314285714285717</v>
      </c>
      <c r="F11" s="3">
        <f t="shared" si="1"/>
        <v>267.91013936779632</v>
      </c>
      <c r="G11" s="69">
        <v>60</v>
      </c>
      <c r="H11" s="8">
        <f t="shared" si="2"/>
        <v>8</v>
      </c>
      <c r="I11" s="3">
        <f t="shared" si="3"/>
        <v>57.150371986748127</v>
      </c>
      <c r="J11" s="69">
        <v>36</v>
      </c>
      <c r="K11" s="8">
        <f t="shared" si="4"/>
        <v>7.2</v>
      </c>
      <c r="L11" s="3">
        <f t="shared" si="5"/>
        <v>35.449343254628971</v>
      </c>
      <c r="M11" s="69">
        <v>19</v>
      </c>
      <c r="N11" s="8">
        <f t="shared" si="6"/>
        <v>3.1666666666666665</v>
      </c>
      <c r="O11" s="3">
        <f t="shared" si="7"/>
        <v>15.798424616021522</v>
      </c>
      <c r="P11" s="69">
        <f t="shared" si="12"/>
        <v>70</v>
      </c>
      <c r="Q11" s="8">
        <f t="shared" si="8"/>
        <v>7.7777777777777777</v>
      </c>
      <c r="R11" s="3">
        <f t="shared" si="9"/>
        <v>50</v>
      </c>
      <c r="S11">
        <v>13</v>
      </c>
      <c r="T11" s="8">
        <f t="shared" si="10"/>
        <v>3.25</v>
      </c>
      <c r="U11" s="3">
        <f t="shared" si="11"/>
        <v>53.134823050763735</v>
      </c>
    </row>
    <row r="12" spans="1:21" ht="27" x14ac:dyDescent="0.45">
      <c r="A12" s="95">
        <v>5</v>
      </c>
      <c r="B12" s="294">
        <v>651201161</v>
      </c>
      <c r="C12" s="294" t="s">
        <v>277</v>
      </c>
      <c r="D12" s="69">
        <f>ROUND(((3.25/4)*175)*1.05,0)</f>
        <v>149</v>
      </c>
      <c r="E12" s="8">
        <f t="shared" si="0"/>
        <v>51.085714285714289</v>
      </c>
      <c r="F12" s="3">
        <f t="shared" si="1"/>
        <v>316.35953679288821</v>
      </c>
      <c r="G12" s="69">
        <v>48</v>
      </c>
      <c r="H12" s="8">
        <f t="shared" si="2"/>
        <v>6.4</v>
      </c>
      <c r="I12" s="3">
        <f t="shared" si="3"/>
        <v>39.484747078311564</v>
      </c>
      <c r="J12" s="69">
        <v>42</v>
      </c>
      <c r="K12" s="8">
        <f t="shared" si="4"/>
        <v>8.4</v>
      </c>
      <c r="L12" s="3">
        <f t="shared" si="5"/>
        <v>50</v>
      </c>
      <c r="M12" s="69">
        <v>25</v>
      </c>
      <c r="N12" s="8">
        <f t="shared" si="6"/>
        <v>4.166666666666667</v>
      </c>
      <c r="O12" s="3">
        <f t="shared" si="7"/>
        <v>26.533595897329747</v>
      </c>
      <c r="P12" s="69">
        <f t="shared" si="12"/>
        <v>70</v>
      </c>
      <c r="Q12" s="8">
        <f t="shared" si="8"/>
        <v>7.7777777777777777</v>
      </c>
      <c r="R12" s="3">
        <f t="shared" si="9"/>
        <v>50</v>
      </c>
      <c r="S12">
        <v>13</v>
      </c>
      <c r="T12" s="8">
        <f t="shared" si="10"/>
        <v>3.25</v>
      </c>
      <c r="U12" s="3">
        <f t="shared" si="11"/>
        <v>53.134823050763735</v>
      </c>
    </row>
    <row r="13" spans="1:21" ht="27" x14ac:dyDescent="0.45">
      <c r="A13" s="95">
        <v>6</v>
      </c>
      <c r="B13" s="294">
        <v>651201162</v>
      </c>
      <c r="C13" s="294" t="s">
        <v>278</v>
      </c>
      <c r="D13" s="69">
        <f>ROUND(((2.5/4)*175)*1.075,0)</f>
        <v>118</v>
      </c>
      <c r="E13" s="8">
        <f t="shared" si="0"/>
        <v>40.457142857142856</v>
      </c>
      <c r="F13" s="3">
        <f t="shared" si="1"/>
        <v>179.82032586762918</v>
      </c>
      <c r="G13" s="69">
        <v>53</v>
      </c>
      <c r="H13" s="8">
        <f t="shared" si="2"/>
        <v>7.0666666666666664</v>
      </c>
      <c r="I13" s="3">
        <f t="shared" si="3"/>
        <v>46.845424123493466</v>
      </c>
      <c r="J13" s="69">
        <v>40</v>
      </c>
      <c r="K13" s="8">
        <f t="shared" si="4"/>
        <v>8</v>
      </c>
      <c r="L13" s="3">
        <f t="shared" si="5"/>
        <v>50</v>
      </c>
      <c r="M13" s="69">
        <v>24</v>
      </c>
      <c r="N13" s="8">
        <f t="shared" si="6"/>
        <v>4</v>
      </c>
      <c r="O13" s="3">
        <f t="shared" si="7"/>
        <v>24.744400683778377</v>
      </c>
      <c r="P13" s="69">
        <f t="shared" si="12"/>
        <v>70</v>
      </c>
      <c r="Q13" s="8">
        <f t="shared" si="8"/>
        <v>7.7777777777777777</v>
      </c>
      <c r="R13" s="3">
        <f t="shared" si="9"/>
        <v>50</v>
      </c>
      <c r="S13">
        <v>11</v>
      </c>
      <c r="T13" s="8">
        <f t="shared" si="10"/>
        <v>2.75</v>
      </c>
      <c r="U13" s="3">
        <f t="shared" si="11"/>
        <v>45.820235932315029</v>
      </c>
    </row>
    <row r="14" spans="1:21" ht="27" x14ac:dyDescent="0.45">
      <c r="A14" s="95">
        <v>7</v>
      </c>
      <c r="B14" s="294">
        <v>651201163</v>
      </c>
      <c r="C14" s="294" t="s">
        <v>279</v>
      </c>
      <c r="D14" s="69">
        <f>ROUND(((3.25/4)*175)*1.05,0)</f>
        <v>149</v>
      </c>
      <c r="E14" s="8">
        <f t="shared" si="0"/>
        <v>51.085714285714289</v>
      </c>
      <c r="F14" s="3">
        <f t="shared" si="1"/>
        <v>316.35953679288821</v>
      </c>
      <c r="G14" s="69">
        <v>62</v>
      </c>
      <c r="H14" s="8">
        <f t="shared" si="2"/>
        <v>8.2666666666666675</v>
      </c>
      <c r="I14" s="3">
        <f t="shared" si="3"/>
        <v>60.094642804820893</v>
      </c>
      <c r="J14" s="69">
        <v>43</v>
      </c>
      <c r="K14" s="8">
        <f t="shared" si="4"/>
        <v>8.6</v>
      </c>
      <c r="L14" s="3">
        <f t="shared" si="5"/>
        <v>50</v>
      </c>
      <c r="M14" s="69">
        <v>26</v>
      </c>
      <c r="N14" s="8">
        <f t="shared" si="6"/>
        <v>4.333333333333333</v>
      </c>
      <c r="O14" s="3">
        <f t="shared" si="7"/>
        <v>28.32279111088112</v>
      </c>
      <c r="P14" s="69">
        <f t="shared" si="12"/>
        <v>70</v>
      </c>
      <c r="Q14" s="8">
        <f t="shared" si="8"/>
        <v>7.7777777777777777</v>
      </c>
      <c r="R14" s="3">
        <f t="shared" si="9"/>
        <v>50</v>
      </c>
      <c r="S14">
        <v>7</v>
      </c>
      <c r="T14" s="8">
        <f t="shared" si="10"/>
        <v>1.75</v>
      </c>
      <c r="U14" s="3">
        <f t="shared" si="11"/>
        <v>31.191061695417613</v>
      </c>
    </row>
    <row r="15" spans="1:21" ht="27" x14ac:dyDescent="0.45">
      <c r="A15" s="95">
        <v>8</v>
      </c>
      <c r="B15" s="294">
        <v>651201164</v>
      </c>
      <c r="C15" s="294" t="s">
        <v>280</v>
      </c>
      <c r="D15" s="69">
        <f>ROUND(((3.5/4)*175)*1.025,0)</f>
        <v>157</v>
      </c>
      <c r="E15" s="8">
        <f t="shared" si="0"/>
        <v>53.828571428571429</v>
      </c>
      <c r="F15" s="3">
        <f t="shared" si="1"/>
        <v>351.5954621929551</v>
      </c>
      <c r="G15" s="69">
        <v>45</v>
      </c>
      <c r="H15" s="8">
        <f t="shared" si="2"/>
        <v>6</v>
      </c>
      <c r="I15" s="3">
        <f t="shared" si="3"/>
        <v>35.068340851202422</v>
      </c>
      <c r="J15" s="69">
        <v>45</v>
      </c>
      <c r="K15" s="8">
        <f t="shared" si="4"/>
        <v>9</v>
      </c>
      <c r="L15" s="3">
        <f t="shared" si="5"/>
        <v>50</v>
      </c>
      <c r="M15" s="69">
        <v>27</v>
      </c>
      <c r="N15" s="8">
        <f t="shared" si="6"/>
        <v>4.5</v>
      </c>
      <c r="O15" s="3">
        <f t="shared" si="7"/>
        <v>30.11198632443249</v>
      </c>
      <c r="P15" s="69">
        <f t="shared" si="12"/>
        <v>70</v>
      </c>
      <c r="Q15" s="8">
        <f t="shared" si="8"/>
        <v>7.7777777777777777</v>
      </c>
      <c r="R15" s="3">
        <f t="shared" si="9"/>
        <v>50</v>
      </c>
      <c r="S15">
        <v>16</v>
      </c>
      <c r="T15" s="8">
        <f t="shared" si="10"/>
        <v>4</v>
      </c>
      <c r="U15" s="3">
        <f t="shared" si="11"/>
        <v>64.106703728436798</v>
      </c>
    </row>
    <row r="16" spans="1:21" x14ac:dyDescent="0.35">
      <c r="A16" s="95">
        <v>9</v>
      </c>
      <c r="B16" s="96"/>
      <c r="C16" s="97"/>
      <c r="D16" s="98"/>
      <c r="E16" s="8">
        <f t="shared" si="0"/>
        <v>0</v>
      </c>
      <c r="F16" s="3">
        <f t="shared" si="1"/>
        <v>0</v>
      </c>
      <c r="G16" s="98"/>
      <c r="H16" s="8">
        <f t="shared" si="2"/>
        <v>0</v>
      </c>
      <c r="I16" s="3">
        <f t="shared" si="3"/>
        <v>0</v>
      </c>
      <c r="J16" s="98"/>
      <c r="K16" s="8">
        <f t="shared" si="4"/>
        <v>0</v>
      </c>
      <c r="L16" s="3">
        <f t="shared" si="5"/>
        <v>0</v>
      </c>
      <c r="M16" s="98"/>
      <c r="N16" s="8">
        <f t="shared" si="6"/>
        <v>0</v>
      </c>
      <c r="O16" s="3">
        <f t="shared" si="7"/>
        <v>0</v>
      </c>
      <c r="P16" s="98"/>
      <c r="Q16" s="8">
        <f t="shared" si="8"/>
        <v>0</v>
      </c>
      <c r="R16" s="3">
        <f t="shared" si="9"/>
        <v>0</v>
      </c>
      <c r="S16" s="98"/>
      <c r="T16" s="8">
        <f t="shared" si="10"/>
        <v>0</v>
      </c>
      <c r="U16" s="3">
        <f t="shared" si="11"/>
        <v>0</v>
      </c>
    </row>
    <row r="17" spans="1: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18" customHeight="1" x14ac:dyDescent="0.35">
      <c r="C18" s="42" t="s">
        <v>13</v>
      </c>
      <c r="D18" s="9">
        <f>AVERAGE($D$8:$D$17)</f>
        <v>145.28571428571428</v>
      </c>
      <c r="E18" s="2"/>
      <c r="F18" s="2"/>
      <c r="G18" s="9">
        <f>AVERAGE($G$8:$G$17)</f>
        <v>55.142857142857146</v>
      </c>
      <c r="J18" s="9">
        <f>AVERAGE($J$8:$J$17)</f>
        <v>40.857142857142854</v>
      </c>
      <c r="M18" s="9">
        <f>AVERAGE($M$8:$M$17)</f>
        <v>24.142857142857142</v>
      </c>
      <c r="P18" s="9">
        <f>AVERAGE($P$8:$P$17)</f>
        <v>70</v>
      </c>
      <c r="S18" s="9">
        <f>AVERAGE($S$8:$S$17)</f>
        <v>12.142857142857142</v>
      </c>
    </row>
    <row r="19" spans="1:21" ht="18" customHeight="1" x14ac:dyDescent="0.35">
      <c r="C19" s="42" t="s">
        <v>14</v>
      </c>
      <c r="D19" s="9">
        <f>STDEV($D$8:$D$17)</f>
        <v>13.622460444847272</v>
      </c>
      <c r="E19" s="2"/>
      <c r="F19" s="2"/>
      <c r="G19" s="9">
        <f>STDEV($G$8:$G$17)</f>
        <v>6.7928533874106902</v>
      </c>
      <c r="J19" s="9">
        <f>STDEV($J$8:$J$17)</f>
        <v>3.3380918415851211</v>
      </c>
      <c r="M19" s="9">
        <f>STDEV($M$8:$M$17)</f>
        <v>2.7945525240230817</v>
      </c>
      <c r="P19" s="9">
        <f>STDEV($P$8:$P$17)</f>
        <v>0</v>
      </c>
      <c r="S19" s="9">
        <f>STDEV(S8:S17)</f>
        <v>2.73426232761059</v>
      </c>
    </row>
    <row r="20" spans="1:21" ht="18" customHeight="1" x14ac:dyDescent="0.35"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18" customHeight="1" x14ac:dyDescent="0.35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x14ac:dyDescent="0.35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22" x14ac:dyDescent="0.35">
      <c r="A24" s="6">
        <v>1</v>
      </c>
      <c r="B24" s="38">
        <f>B8</f>
        <v>651201157</v>
      </c>
      <c r="C24" s="39" t="str">
        <f>C8</f>
        <v>นายพีรพัฒน์ เทศสนั่น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22" x14ac:dyDescent="0.35">
      <c r="A25" s="6">
        <v>2</v>
      </c>
      <c r="B25" s="38">
        <f t="shared" ref="B25:C33" si="13">B9</f>
        <v>651201158</v>
      </c>
      <c r="C25" s="39" t="str">
        <f t="shared" si="13"/>
        <v>นางสาวแพรชมพู โกกะพันธ์</v>
      </c>
      <c r="D25" s="12"/>
      <c r="E25" s="8"/>
      <c r="F25" s="3">
        <f t="shared" ref="F25:F33" si="14">IF(D25="-","-",IF(D25=0,0,IF($D$35=0,50,(50+(10*(STANDARDIZE(D25,$D$34,$D$35)))))*$F$23))</f>
        <v>0</v>
      </c>
      <c r="G25" s="12"/>
      <c r="H25" s="8"/>
      <c r="I25" s="3">
        <f t="shared" ref="I25:I33" si="15">IF(G25="-","-",IF(G25=0,0,IF($G$35=0,50,(50+(10*(STANDARDIZE(G25,$G$34,$G$35)))))*$I$23))</f>
        <v>0</v>
      </c>
      <c r="J25" s="12"/>
      <c r="K25" s="8"/>
      <c r="L25" s="3">
        <f t="shared" ref="L25:L33" si="16">IF(J25="-","-",IF(J25=0,0,IF($J$35=0,50,(50+(10*(STANDARDIZE(J25,$J$34,$J$35)))))*$L$23))</f>
        <v>0</v>
      </c>
      <c r="M25" s="12"/>
      <c r="N25" s="8">
        <f t="shared" ref="N25:N33" si="17">IF(M25="-","-",IF(M25=0,0,(M25*$N$23)/$M$23))</f>
        <v>0</v>
      </c>
      <c r="O25" s="3">
        <f t="shared" ref="O25:O33" si="18">IF(M25="-","-",IF(M25=0,0,IF($M$35=0,50,(50+(10*(STANDARDIZE(M25,$M$34,$M$35)))))*$O$23))</f>
        <v>0</v>
      </c>
      <c r="P25" s="12"/>
      <c r="Q25" s="8">
        <f t="shared" ref="Q25:Q33" si="19">IF(P25="-","-",IF(P25=0,0,(P25*$Q$23)/$P$23))</f>
        <v>0</v>
      </c>
      <c r="R25" s="3">
        <f t="shared" ref="R25:R33" si="20">IF(P25="-","-",IF(P25=0,0,IF($P$35=0,50,(50+(10*(STANDARDIZE(P25,$P$34,$P$35)))))*$R$23))</f>
        <v>0</v>
      </c>
      <c r="S25" s="12"/>
      <c r="T25" s="8">
        <f t="shared" ref="T25:T33" si="21">IF(S25="-","-",IF(S25=0,0,(S25*$T$23)/$S$23))</f>
        <v>0</v>
      </c>
      <c r="U25" s="3">
        <f t="shared" ref="U25:U33" si="22">IF(S25="-","-",IF(S25=0,0,IF($S$35=0,50,(50+(10*(STANDARDIZE(S25,$S$34,$S$35)))))*$U$23))</f>
        <v>0</v>
      </c>
    </row>
    <row r="26" spans="1:21" ht="22" x14ac:dyDescent="0.35">
      <c r="A26" s="6">
        <v>3</v>
      </c>
      <c r="B26" s="38">
        <f t="shared" si="13"/>
        <v>651201159</v>
      </c>
      <c r="C26" s="39" t="str">
        <f t="shared" si="13"/>
        <v>นางสาวแพรวดาว ยังโนนตาด</v>
      </c>
      <c r="D26" s="12"/>
      <c r="E26" s="8"/>
      <c r="F26" s="3">
        <f t="shared" si="14"/>
        <v>0</v>
      </c>
      <c r="G26" s="12"/>
      <c r="H26" s="8"/>
      <c r="I26" s="3">
        <f t="shared" si="15"/>
        <v>0</v>
      </c>
      <c r="J26" s="12"/>
      <c r="K26" s="8"/>
      <c r="L26" s="3">
        <f t="shared" si="16"/>
        <v>0</v>
      </c>
      <c r="M26" s="12"/>
      <c r="N26" s="8">
        <f t="shared" si="17"/>
        <v>0</v>
      </c>
      <c r="O26" s="3">
        <f t="shared" si="18"/>
        <v>0</v>
      </c>
      <c r="P26" s="12"/>
      <c r="Q26" s="8">
        <f t="shared" si="19"/>
        <v>0</v>
      </c>
      <c r="R26" s="3">
        <f t="shared" si="20"/>
        <v>0</v>
      </c>
      <c r="S26" s="12"/>
      <c r="T26" s="8">
        <f t="shared" si="21"/>
        <v>0</v>
      </c>
      <c r="U26" s="3">
        <f t="shared" si="22"/>
        <v>0</v>
      </c>
    </row>
    <row r="27" spans="1:21" ht="22" x14ac:dyDescent="0.35">
      <c r="A27" s="6">
        <v>4</v>
      </c>
      <c r="B27" s="38">
        <f t="shared" si="13"/>
        <v>651201160</v>
      </c>
      <c r="C27" s="39" t="str">
        <f t="shared" si="13"/>
        <v>นางสาวภรรัช ป้องขันธ์</v>
      </c>
      <c r="D27" s="12"/>
      <c r="E27" s="8"/>
      <c r="F27" s="3">
        <f t="shared" si="14"/>
        <v>0</v>
      </c>
      <c r="G27" s="12"/>
      <c r="H27" s="8"/>
      <c r="I27" s="3">
        <f t="shared" si="15"/>
        <v>0</v>
      </c>
      <c r="J27" s="12"/>
      <c r="K27" s="8"/>
      <c r="L27" s="3">
        <f t="shared" si="16"/>
        <v>0</v>
      </c>
      <c r="M27" s="12"/>
      <c r="N27" s="8">
        <f t="shared" si="17"/>
        <v>0</v>
      </c>
      <c r="O27" s="3">
        <f t="shared" si="18"/>
        <v>0</v>
      </c>
      <c r="P27" s="12"/>
      <c r="Q27" s="8">
        <f t="shared" si="19"/>
        <v>0</v>
      </c>
      <c r="R27" s="3">
        <f t="shared" si="20"/>
        <v>0</v>
      </c>
      <c r="S27" s="12"/>
      <c r="T27" s="8">
        <f t="shared" si="21"/>
        <v>0</v>
      </c>
      <c r="U27" s="3">
        <f t="shared" si="22"/>
        <v>0</v>
      </c>
    </row>
    <row r="28" spans="1:21" ht="22" x14ac:dyDescent="0.35">
      <c r="A28" s="6">
        <v>5</v>
      </c>
      <c r="B28" s="38">
        <f t="shared" si="13"/>
        <v>651201161</v>
      </c>
      <c r="C28" s="39" t="str">
        <f t="shared" si="13"/>
        <v>นางสาวภูริชญา สีกา</v>
      </c>
      <c r="D28" s="12"/>
      <c r="E28" s="8"/>
      <c r="F28" s="3">
        <f t="shared" si="14"/>
        <v>0</v>
      </c>
      <c r="G28" s="12"/>
      <c r="H28" s="8"/>
      <c r="I28" s="3">
        <f t="shared" si="15"/>
        <v>0</v>
      </c>
      <c r="J28" s="12"/>
      <c r="K28" s="8"/>
      <c r="L28" s="3">
        <f t="shared" si="16"/>
        <v>0</v>
      </c>
      <c r="M28" s="12"/>
      <c r="N28" s="8">
        <f t="shared" si="17"/>
        <v>0</v>
      </c>
      <c r="O28" s="3">
        <f t="shared" si="18"/>
        <v>0</v>
      </c>
      <c r="P28" s="12"/>
      <c r="Q28" s="8">
        <f t="shared" si="19"/>
        <v>0</v>
      </c>
      <c r="R28" s="3">
        <f t="shared" si="20"/>
        <v>0</v>
      </c>
      <c r="S28" s="12"/>
      <c r="T28" s="8">
        <f t="shared" si="21"/>
        <v>0</v>
      </c>
      <c r="U28" s="3">
        <f t="shared" si="22"/>
        <v>0</v>
      </c>
    </row>
    <row r="29" spans="1:21" ht="22" x14ac:dyDescent="0.35">
      <c r="A29" s="6">
        <v>6</v>
      </c>
      <c r="B29" s="38">
        <f t="shared" si="13"/>
        <v>651201162</v>
      </c>
      <c r="C29" s="39" t="str">
        <f t="shared" si="13"/>
        <v>นางสาวมนัญชยา กรมเกลียว</v>
      </c>
      <c r="D29" s="12"/>
      <c r="E29" s="8"/>
      <c r="F29" s="3">
        <f t="shared" si="14"/>
        <v>0</v>
      </c>
      <c r="G29" s="12"/>
      <c r="H29" s="8"/>
      <c r="I29" s="3">
        <f t="shared" si="15"/>
        <v>0</v>
      </c>
      <c r="J29" s="12"/>
      <c r="K29" s="8"/>
      <c r="L29" s="3">
        <f t="shared" si="16"/>
        <v>0</v>
      </c>
      <c r="M29" s="12"/>
      <c r="N29" s="8">
        <f t="shared" si="17"/>
        <v>0</v>
      </c>
      <c r="O29" s="3">
        <f t="shared" si="18"/>
        <v>0</v>
      </c>
      <c r="P29" s="12"/>
      <c r="Q29" s="8">
        <f t="shared" si="19"/>
        <v>0</v>
      </c>
      <c r="R29" s="3">
        <f t="shared" si="20"/>
        <v>0</v>
      </c>
      <c r="S29" s="12"/>
      <c r="T29" s="8">
        <f t="shared" si="21"/>
        <v>0</v>
      </c>
      <c r="U29" s="3">
        <f t="shared" si="22"/>
        <v>0</v>
      </c>
    </row>
    <row r="30" spans="1:21" ht="22" x14ac:dyDescent="0.35">
      <c r="A30" s="6">
        <v>7</v>
      </c>
      <c r="B30" s="38">
        <f t="shared" si="13"/>
        <v>651201163</v>
      </c>
      <c r="C30" s="39" t="str">
        <f t="shared" si="13"/>
        <v>นางสาวมลธิญา วิจิตรปัญญา</v>
      </c>
      <c r="D30" s="12"/>
      <c r="E30" s="8"/>
      <c r="F30" s="3">
        <f t="shared" si="14"/>
        <v>0</v>
      </c>
      <c r="G30" s="12"/>
      <c r="H30" s="8"/>
      <c r="I30" s="3">
        <f t="shared" si="15"/>
        <v>0</v>
      </c>
      <c r="J30" s="12"/>
      <c r="K30" s="8"/>
      <c r="L30" s="3">
        <f t="shared" si="16"/>
        <v>0</v>
      </c>
      <c r="M30" s="12"/>
      <c r="N30" s="8">
        <f t="shared" si="17"/>
        <v>0</v>
      </c>
      <c r="O30" s="3">
        <f t="shared" si="18"/>
        <v>0</v>
      </c>
      <c r="P30" s="12"/>
      <c r="Q30" s="8">
        <f t="shared" si="19"/>
        <v>0</v>
      </c>
      <c r="R30" s="3">
        <f t="shared" si="20"/>
        <v>0</v>
      </c>
      <c r="S30" s="12"/>
      <c r="T30" s="8">
        <f t="shared" si="21"/>
        <v>0</v>
      </c>
      <c r="U30" s="3">
        <f t="shared" si="22"/>
        <v>0</v>
      </c>
    </row>
    <row r="31" spans="1:21" ht="22" x14ac:dyDescent="0.35">
      <c r="A31" s="6">
        <v>8</v>
      </c>
      <c r="B31" s="38">
        <f t="shared" si="13"/>
        <v>651201164</v>
      </c>
      <c r="C31" s="39" t="str">
        <f t="shared" si="13"/>
        <v>นางสาวยุวดี ว่องไว</v>
      </c>
      <c r="D31" s="12"/>
      <c r="E31" s="8"/>
      <c r="F31" s="3">
        <f t="shared" si="14"/>
        <v>0</v>
      </c>
      <c r="G31" s="12"/>
      <c r="H31" s="8"/>
      <c r="I31" s="3">
        <f t="shared" si="15"/>
        <v>0</v>
      </c>
      <c r="J31" s="12"/>
      <c r="K31" s="8"/>
      <c r="L31" s="3">
        <f t="shared" si="16"/>
        <v>0</v>
      </c>
      <c r="M31" s="12"/>
      <c r="N31" s="8">
        <f t="shared" si="17"/>
        <v>0</v>
      </c>
      <c r="O31" s="3">
        <f t="shared" si="18"/>
        <v>0</v>
      </c>
      <c r="P31" s="12"/>
      <c r="Q31" s="8">
        <f t="shared" si="19"/>
        <v>0</v>
      </c>
      <c r="R31" s="3">
        <f t="shared" si="20"/>
        <v>0</v>
      </c>
      <c r="S31" s="12"/>
      <c r="T31" s="8">
        <f t="shared" si="21"/>
        <v>0</v>
      </c>
      <c r="U31" s="3">
        <f t="shared" si="22"/>
        <v>0</v>
      </c>
    </row>
    <row r="32" spans="1:21" x14ac:dyDescent="0.35">
      <c r="A32" s="6">
        <v>9</v>
      </c>
      <c r="B32" s="38">
        <f t="shared" si="13"/>
        <v>0</v>
      </c>
      <c r="C32" s="39">
        <f t="shared" si="13"/>
        <v>0</v>
      </c>
      <c r="D32" s="12"/>
      <c r="E32" s="8">
        <f t="shared" ref="E32:E33" si="23">IF(D32="-","-",IF(D32=0,0,(D32*$E$23)/$D$23))</f>
        <v>0</v>
      </c>
      <c r="F32" s="3">
        <f t="shared" si="14"/>
        <v>0</v>
      </c>
      <c r="G32" s="12"/>
      <c r="H32" s="8">
        <f t="shared" ref="H32:H33" si="24">IF(G32="-","-",IF(G32=0,0,(G32*$H$23)/$G$23))</f>
        <v>0</v>
      </c>
      <c r="I32" s="3">
        <f t="shared" si="15"/>
        <v>0</v>
      </c>
      <c r="J32" s="12"/>
      <c r="K32" s="8">
        <f t="shared" ref="K32:K33" si="25">IF(J32="-","-",IF(J32=0,0,(J32*$K$23)/$J$23))</f>
        <v>0</v>
      </c>
      <c r="L32" s="3">
        <f t="shared" si="16"/>
        <v>0</v>
      </c>
      <c r="M32" s="12"/>
      <c r="N32" s="8">
        <f t="shared" si="17"/>
        <v>0</v>
      </c>
      <c r="O32" s="3">
        <f t="shared" si="18"/>
        <v>0</v>
      </c>
      <c r="P32" s="12"/>
      <c r="Q32" s="8">
        <f t="shared" si="19"/>
        <v>0</v>
      </c>
      <c r="R32" s="3">
        <f t="shared" si="20"/>
        <v>0</v>
      </c>
      <c r="S32" s="12"/>
      <c r="T32" s="8">
        <f t="shared" si="21"/>
        <v>0</v>
      </c>
      <c r="U32" s="3">
        <f t="shared" si="22"/>
        <v>0</v>
      </c>
    </row>
    <row r="33" spans="1:21" x14ac:dyDescent="0.35">
      <c r="A33" s="6">
        <v>10</v>
      </c>
      <c r="B33" s="38">
        <f t="shared" si="13"/>
        <v>0</v>
      </c>
      <c r="C33" s="39">
        <f t="shared" si="13"/>
        <v>0</v>
      </c>
      <c r="D33" s="12"/>
      <c r="E33" s="8">
        <f t="shared" si="23"/>
        <v>0</v>
      </c>
      <c r="F33" s="3">
        <f t="shared" si="14"/>
        <v>0</v>
      </c>
      <c r="G33" s="12"/>
      <c r="H33" s="8">
        <f t="shared" si="24"/>
        <v>0</v>
      </c>
      <c r="I33" s="3">
        <f t="shared" si="15"/>
        <v>0</v>
      </c>
      <c r="J33" s="12"/>
      <c r="K33" s="8">
        <f t="shared" si="25"/>
        <v>0</v>
      </c>
      <c r="L33" s="3">
        <f t="shared" si="16"/>
        <v>0</v>
      </c>
      <c r="M33" s="12"/>
      <c r="N33" s="8">
        <f t="shared" si="17"/>
        <v>0</v>
      </c>
      <c r="O33" s="3">
        <f t="shared" si="18"/>
        <v>0</v>
      </c>
      <c r="P33" s="12"/>
      <c r="Q33" s="8">
        <f t="shared" si="19"/>
        <v>0</v>
      </c>
      <c r="R33" s="3">
        <f t="shared" si="20"/>
        <v>0</v>
      </c>
      <c r="S33" s="12"/>
      <c r="T33" s="8">
        <f t="shared" si="21"/>
        <v>0</v>
      </c>
      <c r="U33" s="3">
        <f t="shared" si="22"/>
        <v>0</v>
      </c>
    </row>
    <row r="34" spans="1:21" x14ac:dyDescent="0.35">
      <c r="C34" s="42" t="s">
        <v>13</v>
      </c>
      <c r="D34" s="9" t="e">
        <f>AVERAGE($D$24:$D$33)</f>
        <v>#DIV/0!</v>
      </c>
      <c r="G34" s="9" t="e">
        <f>AVERAGE($G$24:$G$33)</f>
        <v>#DIV/0!</v>
      </c>
      <c r="J34" s="9" t="e">
        <f>AVERAGE($J$24:$J$33)</f>
        <v>#DIV/0!</v>
      </c>
      <c r="M34" s="9" t="e">
        <f>AVERAGE($M$24:$M$33)</f>
        <v>#DIV/0!</v>
      </c>
      <c r="P34" s="9" t="e">
        <f>AVERAGE($P$24:$P$33)</f>
        <v>#DIV/0!</v>
      </c>
      <c r="S34" s="72" t="e">
        <f>AVERAGE($S$24:$S$33)</f>
        <v>#DIV/0!</v>
      </c>
    </row>
    <row r="35" spans="1:21" x14ac:dyDescent="0.35">
      <c r="C35" s="42" t="s">
        <v>14</v>
      </c>
      <c r="D35" s="9" t="e">
        <f>STDEV($D$24:$D$33)</f>
        <v>#DIV/0!</v>
      </c>
      <c r="F35" s="5"/>
      <c r="G35" s="9" t="e">
        <f>STDEV($G$24:$G$33)</f>
        <v>#DIV/0!</v>
      </c>
      <c r="J35" s="9" t="e">
        <f>STDEV($J$24:$J$33)</f>
        <v>#DIV/0!</v>
      </c>
      <c r="L35" s="5"/>
      <c r="M35" s="9" t="e">
        <f>STDEV($M$24:$M$33)</f>
        <v>#DIV/0!</v>
      </c>
      <c r="P35" s="9" t="e">
        <f>STDEV($P$24:$P$33)</f>
        <v>#DIV/0!</v>
      </c>
      <c r="S35" s="72" t="e">
        <f>STDEV($S$24:$S$33)</f>
        <v>#DIV/0!</v>
      </c>
    </row>
    <row r="36" spans="1:21" x14ac:dyDescent="0.35">
      <c r="C36" s="42"/>
      <c r="D36" s="9"/>
      <c r="F36" s="5"/>
      <c r="G36" s="9" t="s">
        <v>2</v>
      </c>
      <c r="J36" s="9"/>
      <c r="L36" s="5"/>
      <c r="M36" s="9"/>
      <c r="P36" s="1" t="s">
        <v>2</v>
      </c>
    </row>
    <row r="37" spans="1:21" x14ac:dyDescent="0.35"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</row>
    <row r="38" spans="1:21" x14ac:dyDescent="0.35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x14ac:dyDescent="0.35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22" x14ac:dyDescent="0.35">
      <c r="A41" s="6">
        <v>1</v>
      </c>
      <c r="B41" s="38">
        <f>B8</f>
        <v>651201157</v>
      </c>
      <c r="C41" s="39" t="str">
        <f>C8</f>
        <v>นายพีรพัฒน์ เทศสนั่น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22" x14ac:dyDescent="0.35">
      <c r="A42" s="6">
        <v>2</v>
      </c>
      <c r="B42" s="38">
        <f t="shared" ref="B42:C50" si="26">B9</f>
        <v>651201158</v>
      </c>
      <c r="C42" s="39" t="str">
        <f t="shared" si="26"/>
        <v>นางสาวแพรชมพู โกกะพันธ์</v>
      </c>
      <c r="D42" s="12"/>
      <c r="E42" s="8">
        <f t="shared" ref="E42:E50" si="27">IF(D42="-","-",IF(D42=0,0,(D42*$E$40)/$D$40))</f>
        <v>0</v>
      </c>
      <c r="F42" s="3">
        <f t="shared" ref="F42:F50" si="28">IF(D42="-","-",IF(D42=0,0,IF($D$52=0,50,(50+(10*(STANDARDIZE(D42,$D$51,$D$52)))))*$F$40))</f>
        <v>0</v>
      </c>
      <c r="G42" s="12"/>
      <c r="H42" s="8">
        <f t="shared" ref="H42:H50" si="29">IF(G42="-","-",IF(G42=0,0,(G42*$H$40)/$G$40))</f>
        <v>0</v>
      </c>
      <c r="I42" s="3">
        <f t="shared" ref="I42:I50" si="30">IF(G42="-","-",IF(G42=0,0,IF($G$52=0,50,(50+(10*(STANDARDIZE(G42,$G$51,$G$52)))))*$I$40))</f>
        <v>0</v>
      </c>
      <c r="J42" s="12"/>
      <c r="K42" s="8">
        <f t="shared" ref="K42:K50" si="31">IF(J42="-","-",IF(J42=0,0,(J42*$K$40)/$J$40))</f>
        <v>0</v>
      </c>
      <c r="L42" s="3">
        <f t="shared" ref="L42:L50" si="32">IF(J42="-","-",IF(J42=0,0,IF($J$52=0,50,(50+(10*(STANDARDIZE(J42,$J$51,$J$52)))))*$L$40))</f>
        <v>0</v>
      </c>
      <c r="M42" s="12"/>
      <c r="N42" s="8">
        <f t="shared" ref="N42:N50" si="33">IF(M42="-","-",IF(M42=0,0,(M42*$N$40)/$M$40))</f>
        <v>0</v>
      </c>
      <c r="O42" s="3">
        <f t="shared" ref="O42:O50" si="34">IF(M42="-","-",IF(M42=0,0,IF($M$52=0,50,(50+(10*(STANDARDIZE(M42,$M$51,$M$52)))))*$O$40))</f>
        <v>0</v>
      </c>
      <c r="P42" s="12"/>
      <c r="Q42" s="8">
        <f t="shared" ref="Q42:Q50" si="35">IF(P42="-","-",IF(P42=0,0,(P42*$Q$40)/$P$40))</f>
        <v>0</v>
      </c>
      <c r="R42" s="3">
        <f t="shared" ref="R42:R50" si="36">IF(P42="-","-",IF(P42=0,0,IF($P$52=0,50,(50+(10*(STANDARDIZE(P42,$P$51,$P$52)))))*$R$40))</f>
        <v>0</v>
      </c>
      <c r="S42" s="12"/>
      <c r="T42" s="8">
        <f t="shared" ref="T42:T50" si="37">IF(S42="-","-",IF(S42=0,0,(S42*$T$40)/$S$40))</f>
        <v>0</v>
      </c>
      <c r="U42" s="3">
        <f t="shared" ref="U42:U50" si="38">IF(S42="-","-",IF(S42=0,0,IF($S$52=0,50,(50+(10*(STANDARDIZE(S42,$S$51,$S$52)))))*$U$40))</f>
        <v>0</v>
      </c>
    </row>
    <row r="43" spans="1:21" ht="22" x14ac:dyDescent="0.35">
      <c r="A43" s="6">
        <v>3</v>
      </c>
      <c r="B43" s="38">
        <f t="shared" si="26"/>
        <v>651201159</v>
      </c>
      <c r="C43" s="39" t="str">
        <f t="shared" si="26"/>
        <v>นางสาวแพรวดาว ยังโนนตาด</v>
      </c>
      <c r="D43" s="12"/>
      <c r="E43" s="8">
        <f t="shared" si="27"/>
        <v>0</v>
      </c>
      <c r="F43" s="3">
        <f t="shared" si="28"/>
        <v>0</v>
      </c>
      <c r="G43" s="12"/>
      <c r="H43" s="8">
        <f t="shared" si="29"/>
        <v>0</v>
      </c>
      <c r="I43" s="3">
        <f t="shared" si="30"/>
        <v>0</v>
      </c>
      <c r="J43" s="12"/>
      <c r="K43" s="8">
        <f t="shared" si="31"/>
        <v>0</v>
      </c>
      <c r="L43" s="3">
        <f t="shared" si="32"/>
        <v>0</v>
      </c>
      <c r="M43" s="12"/>
      <c r="N43" s="8">
        <f t="shared" si="33"/>
        <v>0</v>
      </c>
      <c r="O43" s="3">
        <f t="shared" si="34"/>
        <v>0</v>
      </c>
      <c r="P43" s="12"/>
      <c r="Q43" s="8">
        <f t="shared" si="35"/>
        <v>0</v>
      </c>
      <c r="R43" s="3">
        <f t="shared" si="36"/>
        <v>0</v>
      </c>
      <c r="S43" s="12"/>
      <c r="T43" s="8">
        <f t="shared" si="37"/>
        <v>0</v>
      </c>
      <c r="U43" s="3">
        <f t="shared" si="38"/>
        <v>0</v>
      </c>
    </row>
    <row r="44" spans="1:21" ht="22" x14ac:dyDescent="0.35">
      <c r="A44" s="6">
        <v>4</v>
      </c>
      <c r="B44" s="38">
        <f t="shared" si="26"/>
        <v>651201160</v>
      </c>
      <c r="C44" s="39" t="str">
        <f t="shared" si="26"/>
        <v>นางสาวภรรัช ป้องขันธ์</v>
      </c>
      <c r="D44" s="12"/>
      <c r="E44" s="8">
        <f t="shared" si="27"/>
        <v>0</v>
      </c>
      <c r="F44" s="3">
        <f t="shared" si="28"/>
        <v>0</v>
      </c>
      <c r="G44" s="12"/>
      <c r="H44" s="8">
        <f t="shared" si="29"/>
        <v>0</v>
      </c>
      <c r="I44" s="3">
        <f t="shared" si="30"/>
        <v>0</v>
      </c>
      <c r="J44" s="12"/>
      <c r="K44" s="8">
        <f t="shared" si="31"/>
        <v>0</v>
      </c>
      <c r="L44" s="3">
        <f t="shared" si="32"/>
        <v>0</v>
      </c>
      <c r="M44" s="12"/>
      <c r="N44" s="8">
        <f t="shared" si="33"/>
        <v>0</v>
      </c>
      <c r="O44" s="3">
        <f t="shared" si="34"/>
        <v>0</v>
      </c>
      <c r="P44" s="12"/>
      <c r="Q44" s="8">
        <f t="shared" si="35"/>
        <v>0</v>
      </c>
      <c r="R44" s="3">
        <f t="shared" si="36"/>
        <v>0</v>
      </c>
      <c r="S44" s="12"/>
      <c r="T44" s="8">
        <f t="shared" si="37"/>
        <v>0</v>
      </c>
      <c r="U44" s="3">
        <f t="shared" si="38"/>
        <v>0</v>
      </c>
    </row>
    <row r="45" spans="1:21" ht="22" x14ac:dyDescent="0.35">
      <c r="A45" s="6">
        <v>5</v>
      </c>
      <c r="B45" s="38">
        <f t="shared" si="26"/>
        <v>651201161</v>
      </c>
      <c r="C45" s="39" t="str">
        <f t="shared" si="26"/>
        <v>นางสาวภูริชญา สีกา</v>
      </c>
      <c r="D45" s="12"/>
      <c r="E45" s="8">
        <f t="shared" si="27"/>
        <v>0</v>
      </c>
      <c r="F45" s="3">
        <f t="shared" si="28"/>
        <v>0</v>
      </c>
      <c r="G45" s="12"/>
      <c r="H45" s="8">
        <f t="shared" si="29"/>
        <v>0</v>
      </c>
      <c r="I45" s="3">
        <f t="shared" si="30"/>
        <v>0</v>
      </c>
      <c r="J45" s="12"/>
      <c r="K45" s="8">
        <f t="shared" si="31"/>
        <v>0</v>
      </c>
      <c r="L45" s="3">
        <f t="shared" si="32"/>
        <v>0</v>
      </c>
      <c r="M45" s="12"/>
      <c r="N45" s="8">
        <f t="shared" si="33"/>
        <v>0</v>
      </c>
      <c r="O45" s="3">
        <f t="shared" si="34"/>
        <v>0</v>
      </c>
      <c r="P45" s="12"/>
      <c r="Q45" s="8">
        <f t="shared" si="35"/>
        <v>0</v>
      </c>
      <c r="R45" s="3">
        <f t="shared" si="36"/>
        <v>0</v>
      </c>
      <c r="S45" s="12"/>
      <c r="T45" s="8">
        <f t="shared" si="37"/>
        <v>0</v>
      </c>
      <c r="U45" s="3">
        <f t="shared" si="38"/>
        <v>0</v>
      </c>
    </row>
    <row r="46" spans="1:21" ht="22" x14ac:dyDescent="0.35">
      <c r="A46" s="6">
        <v>6</v>
      </c>
      <c r="B46" s="38">
        <f t="shared" si="26"/>
        <v>651201162</v>
      </c>
      <c r="C46" s="39" t="str">
        <f t="shared" si="26"/>
        <v>นางสาวมนัญชยา กรมเกลียว</v>
      </c>
      <c r="D46" s="12"/>
      <c r="E46" s="8">
        <f t="shared" si="27"/>
        <v>0</v>
      </c>
      <c r="F46" s="3">
        <f t="shared" si="28"/>
        <v>0</v>
      </c>
      <c r="G46" s="12"/>
      <c r="H46" s="8">
        <f t="shared" si="29"/>
        <v>0</v>
      </c>
      <c r="I46" s="3">
        <f t="shared" si="30"/>
        <v>0</v>
      </c>
      <c r="J46" s="12"/>
      <c r="K46" s="8">
        <f t="shared" si="31"/>
        <v>0</v>
      </c>
      <c r="L46" s="3">
        <f t="shared" si="32"/>
        <v>0</v>
      </c>
      <c r="M46" s="12"/>
      <c r="N46" s="8">
        <f t="shared" si="33"/>
        <v>0</v>
      </c>
      <c r="O46" s="3">
        <f t="shared" si="34"/>
        <v>0</v>
      </c>
      <c r="P46" s="12"/>
      <c r="Q46" s="8">
        <f t="shared" si="35"/>
        <v>0</v>
      </c>
      <c r="R46" s="3">
        <f t="shared" si="36"/>
        <v>0</v>
      </c>
      <c r="S46" s="12"/>
      <c r="T46" s="8">
        <f t="shared" si="37"/>
        <v>0</v>
      </c>
      <c r="U46" s="3">
        <f t="shared" si="38"/>
        <v>0</v>
      </c>
    </row>
    <row r="47" spans="1:21" ht="22" x14ac:dyDescent="0.35">
      <c r="A47" s="6">
        <v>7</v>
      </c>
      <c r="B47" s="38">
        <f t="shared" si="26"/>
        <v>651201163</v>
      </c>
      <c r="C47" s="39" t="str">
        <f t="shared" si="26"/>
        <v>นางสาวมลธิญา วิจิตรปัญญา</v>
      </c>
      <c r="D47" s="12"/>
      <c r="E47" s="8">
        <f t="shared" si="27"/>
        <v>0</v>
      </c>
      <c r="F47" s="3">
        <f t="shared" si="28"/>
        <v>0</v>
      </c>
      <c r="G47" s="12"/>
      <c r="H47" s="8">
        <f t="shared" si="29"/>
        <v>0</v>
      </c>
      <c r="I47" s="3">
        <f t="shared" si="30"/>
        <v>0</v>
      </c>
      <c r="J47" s="12"/>
      <c r="K47" s="8">
        <f t="shared" si="31"/>
        <v>0</v>
      </c>
      <c r="L47" s="3">
        <f t="shared" si="32"/>
        <v>0</v>
      </c>
      <c r="M47" s="12"/>
      <c r="N47" s="8">
        <f t="shared" si="33"/>
        <v>0</v>
      </c>
      <c r="O47" s="3">
        <f t="shared" si="34"/>
        <v>0</v>
      </c>
      <c r="P47" s="12"/>
      <c r="Q47" s="8">
        <f t="shared" si="35"/>
        <v>0</v>
      </c>
      <c r="R47" s="3">
        <f t="shared" si="36"/>
        <v>0</v>
      </c>
      <c r="S47" s="12"/>
      <c r="T47" s="8">
        <f t="shared" si="37"/>
        <v>0</v>
      </c>
      <c r="U47" s="3">
        <f t="shared" si="38"/>
        <v>0</v>
      </c>
    </row>
    <row r="48" spans="1:21" ht="22" x14ac:dyDescent="0.35">
      <c r="A48" s="6">
        <v>8</v>
      </c>
      <c r="B48" s="38">
        <f t="shared" si="26"/>
        <v>651201164</v>
      </c>
      <c r="C48" s="39" t="str">
        <f t="shared" si="26"/>
        <v>นางสาวยุวดี ว่องไว</v>
      </c>
      <c r="D48" s="12"/>
      <c r="E48" s="8">
        <f t="shared" si="27"/>
        <v>0</v>
      </c>
      <c r="F48" s="3">
        <f t="shared" si="28"/>
        <v>0</v>
      </c>
      <c r="G48" s="12"/>
      <c r="H48" s="8">
        <f t="shared" si="29"/>
        <v>0</v>
      </c>
      <c r="I48" s="3">
        <f t="shared" si="30"/>
        <v>0</v>
      </c>
      <c r="J48" s="12"/>
      <c r="K48" s="8">
        <f t="shared" si="31"/>
        <v>0</v>
      </c>
      <c r="L48" s="3">
        <f t="shared" si="32"/>
        <v>0</v>
      </c>
      <c r="M48" s="12"/>
      <c r="N48" s="8">
        <f t="shared" si="33"/>
        <v>0</v>
      </c>
      <c r="O48" s="3">
        <f t="shared" si="34"/>
        <v>0</v>
      </c>
      <c r="P48" s="12"/>
      <c r="Q48" s="8">
        <f t="shared" si="35"/>
        <v>0</v>
      </c>
      <c r="R48" s="3">
        <f t="shared" si="36"/>
        <v>0</v>
      </c>
      <c r="S48" s="12"/>
      <c r="T48" s="8">
        <f t="shared" si="37"/>
        <v>0</v>
      </c>
      <c r="U48" s="3">
        <f t="shared" si="38"/>
        <v>0</v>
      </c>
    </row>
    <row r="49" spans="1:21" x14ac:dyDescent="0.35">
      <c r="A49" s="6">
        <v>9</v>
      </c>
      <c r="B49" s="38">
        <f t="shared" si="26"/>
        <v>0</v>
      </c>
      <c r="C49" s="39">
        <f t="shared" si="26"/>
        <v>0</v>
      </c>
      <c r="D49" s="12"/>
      <c r="E49" s="8">
        <f t="shared" si="27"/>
        <v>0</v>
      </c>
      <c r="F49" s="3">
        <f t="shared" si="28"/>
        <v>0</v>
      </c>
      <c r="G49" s="12"/>
      <c r="H49" s="8">
        <f t="shared" si="29"/>
        <v>0</v>
      </c>
      <c r="I49" s="3">
        <f t="shared" si="30"/>
        <v>0</v>
      </c>
      <c r="J49" s="12"/>
      <c r="K49" s="8">
        <f t="shared" si="31"/>
        <v>0</v>
      </c>
      <c r="L49" s="3">
        <f t="shared" si="32"/>
        <v>0</v>
      </c>
      <c r="M49" s="12"/>
      <c r="N49" s="8">
        <f t="shared" si="33"/>
        <v>0</v>
      </c>
      <c r="O49" s="3">
        <f t="shared" si="34"/>
        <v>0</v>
      </c>
      <c r="P49" s="12"/>
      <c r="Q49" s="8">
        <f t="shared" si="35"/>
        <v>0</v>
      </c>
      <c r="R49" s="3">
        <f t="shared" si="36"/>
        <v>0</v>
      </c>
      <c r="S49" s="12"/>
      <c r="T49" s="8">
        <f t="shared" si="37"/>
        <v>0</v>
      </c>
      <c r="U49" s="3">
        <f t="shared" si="38"/>
        <v>0</v>
      </c>
    </row>
    <row r="50" spans="1:21" x14ac:dyDescent="0.35">
      <c r="A50" s="6">
        <v>10</v>
      </c>
      <c r="B50" s="38">
        <f t="shared" si="26"/>
        <v>0</v>
      </c>
      <c r="C50" s="39">
        <f t="shared" si="26"/>
        <v>0</v>
      </c>
      <c r="D50" s="12"/>
      <c r="E50" s="8">
        <f t="shared" si="27"/>
        <v>0</v>
      </c>
      <c r="F50" s="3">
        <f t="shared" si="28"/>
        <v>0</v>
      </c>
      <c r="G50" s="12"/>
      <c r="H50" s="8">
        <f t="shared" si="29"/>
        <v>0</v>
      </c>
      <c r="I50" s="3">
        <f t="shared" si="30"/>
        <v>0</v>
      </c>
      <c r="J50" s="12"/>
      <c r="K50" s="8">
        <f t="shared" si="31"/>
        <v>0</v>
      </c>
      <c r="L50" s="3">
        <f t="shared" si="32"/>
        <v>0</v>
      </c>
      <c r="M50" s="12"/>
      <c r="N50" s="8">
        <f t="shared" si="33"/>
        <v>0</v>
      </c>
      <c r="O50" s="3">
        <f t="shared" si="34"/>
        <v>0</v>
      </c>
      <c r="P50" s="12"/>
      <c r="Q50" s="8">
        <f t="shared" si="35"/>
        <v>0</v>
      </c>
      <c r="R50" s="3">
        <f t="shared" si="36"/>
        <v>0</v>
      </c>
      <c r="S50" s="12"/>
      <c r="T50" s="8">
        <f t="shared" si="37"/>
        <v>0</v>
      </c>
      <c r="U50" s="3">
        <f t="shared" si="38"/>
        <v>0</v>
      </c>
    </row>
    <row r="51" spans="1:21" x14ac:dyDescent="0.35">
      <c r="C51" s="42" t="s">
        <v>13</v>
      </c>
      <c r="D51" s="9" t="e">
        <f>AVERAGE($D$41:$D$50)</f>
        <v>#DIV/0!</v>
      </c>
      <c r="G51" s="9" t="e">
        <f>AVERAGE($G$41:$G$50)</f>
        <v>#DIV/0!</v>
      </c>
      <c r="J51" s="9" t="e">
        <f>AVERAGE($J$41:$J$50)</f>
        <v>#DIV/0!</v>
      </c>
      <c r="M51" s="9" t="e">
        <f>AVERAGE($M$41:$M$50)</f>
        <v>#DIV/0!</v>
      </c>
      <c r="P51" s="9" t="e">
        <f>AVERAGE($P$41:$P$50)</f>
        <v>#DIV/0!</v>
      </c>
      <c r="S51" s="9" t="e">
        <f>AVERAGE($S$41:$S$50)</f>
        <v>#DIV/0!</v>
      </c>
    </row>
    <row r="52" spans="1:21" x14ac:dyDescent="0.35">
      <c r="C52" s="42" t="s">
        <v>14</v>
      </c>
      <c r="D52" s="9" t="e">
        <f>STDEV($D$41:$D$50)</f>
        <v>#DIV/0!</v>
      </c>
      <c r="F52" s="5"/>
      <c r="G52" s="9" t="e">
        <f>STDEV($G$41:$G$50)</f>
        <v>#DIV/0!</v>
      </c>
      <c r="J52" s="9" t="e">
        <f>STDEV($J$41:$J$50)</f>
        <v>#DIV/0!</v>
      </c>
      <c r="M52" s="9" t="e">
        <f>STDEV($M$41:$M$50)</f>
        <v>#DIV/0!</v>
      </c>
      <c r="O52" s="5"/>
      <c r="P52" s="9" t="e">
        <f>STDEV($P$41:$P$50)</f>
        <v>#DIV/0!</v>
      </c>
      <c r="R52" s="5"/>
      <c r="S52" s="9" t="e">
        <f>STDEV($S$41:$S$50)</f>
        <v>#DIV/0!</v>
      </c>
    </row>
    <row r="53" spans="1:21" x14ac:dyDescent="0.35">
      <c r="C53" s="42"/>
      <c r="D53" s="9"/>
      <c r="F53" s="5"/>
      <c r="G53" s="9"/>
      <c r="J53" s="9"/>
      <c r="L53" s="5"/>
      <c r="M53" s="9"/>
      <c r="P53" s="1" t="s">
        <v>2</v>
      </c>
    </row>
    <row r="54" spans="1:21" x14ac:dyDescent="0.35"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1:21" ht="18.75" customHeight="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18.75" customHeight="1" x14ac:dyDescent="0.35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22" x14ac:dyDescent="0.35">
      <c r="A58" s="6">
        <v>1</v>
      </c>
      <c r="B58" s="38">
        <f>B8</f>
        <v>651201157</v>
      </c>
      <c r="C58" s="73" t="str">
        <f>C8</f>
        <v>นายพีรพัฒน์ เทศสนั่น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22" x14ac:dyDescent="0.35">
      <c r="A59" s="6">
        <v>2</v>
      </c>
      <c r="B59" s="38">
        <f t="shared" ref="B59:C67" si="39">B9</f>
        <v>651201158</v>
      </c>
      <c r="C59" s="73" t="str">
        <f t="shared" si="39"/>
        <v>นางสาวแพรชมพู โกกะพันธ์</v>
      </c>
      <c r="D59" s="12"/>
      <c r="E59" s="8">
        <f t="shared" ref="E59:E67" si="40">IF(D59="-","-",IF(D59=0,0,(D59*$E$57)/$D$57))</f>
        <v>0</v>
      </c>
      <c r="F59" s="3">
        <f t="shared" ref="F59:F67" si="41">IF(D59="-","-",IF(D59=0,0,IF($D$69=0,50,(50+(10*(STANDARDIZE(D59,$D$68,$D$69)))))*$F$57))</f>
        <v>0</v>
      </c>
      <c r="G59" s="12"/>
      <c r="H59" s="8">
        <f t="shared" ref="H59:H67" si="42">IF(G59="-","-",IF(G59=0,0,(G59*$H$57)/$G$57))</f>
        <v>0</v>
      </c>
      <c r="I59" s="3">
        <f t="shared" ref="I59:I67" si="43">IF(G59="-","-",IF(G59=0,0,IF($G$69=0,50,(50+(10*(STANDARDIZE(G59,$G$68,$G$69)))))*$I$57))</f>
        <v>0</v>
      </c>
      <c r="J59" s="12"/>
      <c r="K59" s="8">
        <f t="shared" ref="K59:K67" si="44">IF(J59="-","-",IF(J59=0,0,(J59*$K$57)/$J$57))</f>
        <v>0</v>
      </c>
      <c r="L59" s="3">
        <f t="shared" ref="L59:L67" si="45">IF(J59="-","-",IF(J59=0,0,IF($J$69=0,50,(50+(10*(STANDARDIZE(J59,$J$68,$J$69)))))*$L$57))</f>
        <v>0</v>
      </c>
      <c r="M59" s="12"/>
      <c r="N59" s="8">
        <f t="shared" ref="N59:N67" si="46">IF(M59="-","-",IF(M59=0,0,(M59*$N$40)/$M$40))</f>
        <v>0</v>
      </c>
      <c r="O59" s="3">
        <f t="shared" ref="O59:O67" si="47">IF(M59="-","-",IF(M59=0,0,IF($M$69=0,50,(50+(10*(STANDARDIZE(M59,$M$68,$M$69)))))*$O$57))</f>
        <v>0</v>
      </c>
      <c r="P59" s="12"/>
      <c r="Q59" s="8">
        <f t="shared" ref="Q59:Q67" si="48">IF(P59="-","-",IF(P59=0,0,(P59*$Q$57)/$P$57))</f>
        <v>0</v>
      </c>
      <c r="R59" s="3">
        <f t="shared" ref="R59:R67" si="49">IF(P59="-","-",IF(P59=0,0,IF($P$69=0,50,(50+(10*(STANDARDIZE(P59,$P$68,$P$69)))))*$R$57))</f>
        <v>0</v>
      </c>
      <c r="S59" s="12"/>
      <c r="T59" s="8">
        <f t="shared" ref="T59:T67" si="50">IF(S59="-","-",IF(S59=0,0,(S59*$T$57)/$S$57))</f>
        <v>0</v>
      </c>
      <c r="U59" s="3">
        <f t="shared" ref="U59:U67" si="51">IF(S59="-","-",IF(S59=0,0,IF($S$69=0,50,(50+(10*(STANDARDIZE(S59,$S$68,$S$69)))))*$U$57))</f>
        <v>0</v>
      </c>
    </row>
    <row r="60" spans="1:21" ht="22" x14ac:dyDescent="0.35">
      <c r="A60" s="6">
        <v>3</v>
      </c>
      <c r="B60" s="38">
        <f t="shared" si="39"/>
        <v>651201159</v>
      </c>
      <c r="C60" s="73" t="str">
        <f t="shared" si="39"/>
        <v>นางสาวแพรวดาว ยังโนนตาด</v>
      </c>
      <c r="D60" s="12"/>
      <c r="E60" s="8">
        <f t="shared" si="40"/>
        <v>0</v>
      </c>
      <c r="F60" s="3">
        <f t="shared" si="41"/>
        <v>0</v>
      </c>
      <c r="G60" s="12"/>
      <c r="H60" s="8">
        <f t="shared" si="42"/>
        <v>0</v>
      </c>
      <c r="I60" s="3">
        <f t="shared" si="43"/>
        <v>0</v>
      </c>
      <c r="J60" s="12"/>
      <c r="K60" s="8">
        <f t="shared" si="44"/>
        <v>0</v>
      </c>
      <c r="L60" s="3">
        <f t="shared" si="45"/>
        <v>0</v>
      </c>
      <c r="M60" s="12"/>
      <c r="N60" s="8">
        <f t="shared" si="46"/>
        <v>0</v>
      </c>
      <c r="O60" s="3">
        <f t="shared" si="47"/>
        <v>0</v>
      </c>
      <c r="P60" s="12"/>
      <c r="Q60" s="8">
        <f t="shared" si="48"/>
        <v>0</v>
      </c>
      <c r="R60" s="3">
        <f t="shared" si="49"/>
        <v>0</v>
      </c>
      <c r="S60" s="12"/>
      <c r="T60" s="8">
        <f t="shared" si="50"/>
        <v>0</v>
      </c>
      <c r="U60" s="3">
        <f t="shared" si="51"/>
        <v>0</v>
      </c>
    </row>
    <row r="61" spans="1:21" ht="22" x14ac:dyDescent="0.35">
      <c r="A61" s="6">
        <v>4</v>
      </c>
      <c r="B61" s="38">
        <f t="shared" si="39"/>
        <v>651201160</v>
      </c>
      <c r="C61" s="73" t="str">
        <f t="shared" si="39"/>
        <v>นางสาวภรรัช ป้องขันธ์</v>
      </c>
      <c r="D61" s="12"/>
      <c r="E61" s="8">
        <f t="shared" si="40"/>
        <v>0</v>
      </c>
      <c r="F61" s="3">
        <f t="shared" si="41"/>
        <v>0</v>
      </c>
      <c r="G61" s="12"/>
      <c r="H61" s="8">
        <f t="shared" si="42"/>
        <v>0</v>
      </c>
      <c r="I61" s="3">
        <f t="shared" si="43"/>
        <v>0</v>
      </c>
      <c r="J61" s="12"/>
      <c r="K61" s="8">
        <f t="shared" si="44"/>
        <v>0</v>
      </c>
      <c r="L61" s="3">
        <f t="shared" si="45"/>
        <v>0</v>
      </c>
      <c r="M61" s="12"/>
      <c r="N61" s="8">
        <f t="shared" si="46"/>
        <v>0</v>
      </c>
      <c r="O61" s="3">
        <f t="shared" si="47"/>
        <v>0</v>
      </c>
      <c r="P61" s="12"/>
      <c r="Q61" s="8">
        <f t="shared" si="48"/>
        <v>0</v>
      </c>
      <c r="R61" s="3">
        <f t="shared" si="49"/>
        <v>0</v>
      </c>
      <c r="S61" s="12"/>
      <c r="T61" s="8">
        <f t="shared" si="50"/>
        <v>0</v>
      </c>
      <c r="U61" s="3">
        <f t="shared" si="51"/>
        <v>0</v>
      </c>
    </row>
    <row r="62" spans="1:21" ht="22" x14ac:dyDescent="0.35">
      <c r="A62" s="6">
        <v>5</v>
      </c>
      <c r="B62" s="38">
        <f t="shared" si="39"/>
        <v>651201161</v>
      </c>
      <c r="C62" s="73" t="str">
        <f t="shared" si="39"/>
        <v>นางสาวภูริชญา สีกา</v>
      </c>
      <c r="D62" s="12"/>
      <c r="E62" s="8">
        <f t="shared" si="40"/>
        <v>0</v>
      </c>
      <c r="F62" s="3">
        <f t="shared" si="41"/>
        <v>0</v>
      </c>
      <c r="G62" s="12"/>
      <c r="H62" s="8">
        <f t="shared" si="42"/>
        <v>0</v>
      </c>
      <c r="I62" s="3">
        <f t="shared" si="43"/>
        <v>0</v>
      </c>
      <c r="J62" s="12"/>
      <c r="K62" s="8">
        <f t="shared" si="44"/>
        <v>0</v>
      </c>
      <c r="L62" s="3">
        <f t="shared" si="45"/>
        <v>0</v>
      </c>
      <c r="M62" s="12"/>
      <c r="N62" s="8">
        <f t="shared" si="46"/>
        <v>0</v>
      </c>
      <c r="O62" s="3">
        <f t="shared" si="47"/>
        <v>0</v>
      </c>
      <c r="P62" s="12"/>
      <c r="Q62" s="8">
        <f t="shared" si="48"/>
        <v>0</v>
      </c>
      <c r="R62" s="3">
        <f t="shared" si="49"/>
        <v>0</v>
      </c>
      <c r="S62" s="12"/>
      <c r="T62" s="8">
        <f t="shared" si="50"/>
        <v>0</v>
      </c>
      <c r="U62" s="3">
        <f t="shared" si="51"/>
        <v>0</v>
      </c>
    </row>
    <row r="63" spans="1:21" ht="22" x14ac:dyDescent="0.35">
      <c r="A63" s="6">
        <v>6</v>
      </c>
      <c r="B63" s="38">
        <f t="shared" si="39"/>
        <v>651201162</v>
      </c>
      <c r="C63" s="73" t="str">
        <f t="shared" si="39"/>
        <v>นางสาวมนัญชยา กรมเกลียว</v>
      </c>
      <c r="D63" s="12"/>
      <c r="E63" s="8">
        <f t="shared" si="40"/>
        <v>0</v>
      </c>
      <c r="F63" s="3">
        <f t="shared" si="41"/>
        <v>0</v>
      </c>
      <c r="G63" s="12"/>
      <c r="H63" s="8">
        <f t="shared" si="42"/>
        <v>0</v>
      </c>
      <c r="I63" s="3">
        <f t="shared" si="43"/>
        <v>0</v>
      </c>
      <c r="J63" s="12"/>
      <c r="K63" s="8">
        <f t="shared" si="44"/>
        <v>0</v>
      </c>
      <c r="L63" s="3">
        <f t="shared" si="45"/>
        <v>0</v>
      </c>
      <c r="M63" s="12"/>
      <c r="N63" s="8">
        <f t="shared" si="46"/>
        <v>0</v>
      </c>
      <c r="O63" s="3">
        <f t="shared" si="47"/>
        <v>0</v>
      </c>
      <c r="P63" s="12"/>
      <c r="Q63" s="8">
        <f t="shared" si="48"/>
        <v>0</v>
      </c>
      <c r="R63" s="3">
        <f t="shared" si="49"/>
        <v>0</v>
      </c>
      <c r="S63" s="12"/>
      <c r="T63" s="8">
        <f t="shared" si="50"/>
        <v>0</v>
      </c>
      <c r="U63" s="3">
        <f t="shared" si="51"/>
        <v>0</v>
      </c>
    </row>
    <row r="64" spans="1:21" ht="22" x14ac:dyDescent="0.35">
      <c r="A64" s="6">
        <v>7</v>
      </c>
      <c r="B64" s="38">
        <f t="shared" si="39"/>
        <v>651201163</v>
      </c>
      <c r="C64" s="73" t="str">
        <f t="shared" si="39"/>
        <v>นางสาวมลธิญา วิจิตรปัญญา</v>
      </c>
      <c r="D64" s="12"/>
      <c r="E64" s="8">
        <f t="shared" si="40"/>
        <v>0</v>
      </c>
      <c r="F64" s="3">
        <f t="shared" si="41"/>
        <v>0</v>
      </c>
      <c r="G64" s="12"/>
      <c r="H64" s="8">
        <f t="shared" si="42"/>
        <v>0</v>
      </c>
      <c r="I64" s="3">
        <f t="shared" si="43"/>
        <v>0</v>
      </c>
      <c r="J64" s="12"/>
      <c r="K64" s="8">
        <f t="shared" si="44"/>
        <v>0</v>
      </c>
      <c r="L64" s="3">
        <f t="shared" si="45"/>
        <v>0</v>
      </c>
      <c r="M64" s="12"/>
      <c r="N64" s="8">
        <f t="shared" si="46"/>
        <v>0</v>
      </c>
      <c r="O64" s="3">
        <f t="shared" si="47"/>
        <v>0</v>
      </c>
      <c r="P64" s="12"/>
      <c r="Q64" s="8">
        <f t="shared" si="48"/>
        <v>0</v>
      </c>
      <c r="R64" s="3">
        <f t="shared" si="49"/>
        <v>0</v>
      </c>
      <c r="S64" s="12"/>
      <c r="T64" s="8">
        <f t="shared" si="50"/>
        <v>0</v>
      </c>
      <c r="U64" s="3">
        <f t="shared" si="51"/>
        <v>0</v>
      </c>
    </row>
    <row r="65" spans="1:21" ht="22" x14ac:dyDescent="0.35">
      <c r="A65" s="6">
        <v>8</v>
      </c>
      <c r="B65" s="38">
        <f t="shared" si="39"/>
        <v>651201164</v>
      </c>
      <c r="C65" s="73" t="str">
        <f t="shared" si="39"/>
        <v>นางสาวยุวดี ว่องไว</v>
      </c>
      <c r="D65" s="12"/>
      <c r="E65" s="8">
        <f t="shared" si="40"/>
        <v>0</v>
      </c>
      <c r="F65" s="3">
        <f t="shared" si="41"/>
        <v>0</v>
      </c>
      <c r="G65" s="12"/>
      <c r="H65" s="8">
        <f t="shared" si="42"/>
        <v>0</v>
      </c>
      <c r="I65" s="3">
        <f t="shared" si="43"/>
        <v>0</v>
      </c>
      <c r="J65" s="12"/>
      <c r="K65" s="8">
        <f t="shared" si="44"/>
        <v>0</v>
      </c>
      <c r="L65" s="3">
        <f t="shared" si="45"/>
        <v>0</v>
      </c>
      <c r="M65" s="12"/>
      <c r="N65" s="8">
        <f t="shared" si="46"/>
        <v>0</v>
      </c>
      <c r="O65" s="3">
        <f t="shared" si="47"/>
        <v>0</v>
      </c>
      <c r="P65" s="12"/>
      <c r="Q65" s="8">
        <f t="shared" si="48"/>
        <v>0</v>
      </c>
      <c r="R65" s="3">
        <f t="shared" si="49"/>
        <v>0</v>
      </c>
      <c r="S65" s="12"/>
      <c r="T65" s="8">
        <f t="shared" si="50"/>
        <v>0</v>
      </c>
      <c r="U65" s="3">
        <f t="shared" si="51"/>
        <v>0</v>
      </c>
    </row>
    <row r="66" spans="1:21" x14ac:dyDescent="0.35">
      <c r="A66" s="6">
        <v>9</v>
      </c>
      <c r="B66" s="38">
        <f t="shared" si="39"/>
        <v>0</v>
      </c>
      <c r="C66" s="73">
        <f t="shared" si="39"/>
        <v>0</v>
      </c>
      <c r="D66" s="12"/>
      <c r="E66" s="8">
        <f t="shared" si="40"/>
        <v>0</v>
      </c>
      <c r="F66" s="3">
        <f t="shared" si="41"/>
        <v>0</v>
      </c>
      <c r="G66" s="12"/>
      <c r="H66" s="8">
        <f t="shared" si="42"/>
        <v>0</v>
      </c>
      <c r="I66" s="3">
        <f t="shared" si="43"/>
        <v>0</v>
      </c>
      <c r="J66" s="12"/>
      <c r="K66" s="8">
        <f t="shared" si="44"/>
        <v>0</v>
      </c>
      <c r="L66" s="3">
        <f t="shared" si="45"/>
        <v>0</v>
      </c>
      <c r="M66" s="12"/>
      <c r="N66" s="8">
        <f t="shared" si="46"/>
        <v>0</v>
      </c>
      <c r="O66" s="3">
        <f t="shared" si="47"/>
        <v>0</v>
      </c>
      <c r="P66" s="12"/>
      <c r="Q66" s="8">
        <f t="shared" si="48"/>
        <v>0</v>
      </c>
      <c r="R66" s="3">
        <f t="shared" si="49"/>
        <v>0</v>
      </c>
      <c r="S66" s="12"/>
      <c r="T66" s="8">
        <f t="shared" si="50"/>
        <v>0</v>
      </c>
      <c r="U66" s="3">
        <f t="shared" si="51"/>
        <v>0</v>
      </c>
    </row>
    <row r="67" spans="1:21" x14ac:dyDescent="0.35">
      <c r="A67" s="6">
        <v>10</v>
      </c>
      <c r="B67" s="38">
        <f t="shared" si="39"/>
        <v>0</v>
      </c>
      <c r="C67" s="73">
        <f t="shared" si="39"/>
        <v>0</v>
      </c>
      <c r="D67" s="12"/>
      <c r="E67" s="8">
        <f t="shared" si="40"/>
        <v>0</v>
      </c>
      <c r="F67" s="3">
        <f t="shared" si="41"/>
        <v>0</v>
      </c>
      <c r="G67" s="12"/>
      <c r="H67" s="8">
        <f t="shared" si="42"/>
        <v>0</v>
      </c>
      <c r="I67" s="3">
        <f t="shared" si="43"/>
        <v>0</v>
      </c>
      <c r="J67" s="12"/>
      <c r="K67" s="8">
        <f t="shared" si="44"/>
        <v>0</v>
      </c>
      <c r="L67" s="3">
        <f t="shared" si="45"/>
        <v>0</v>
      </c>
      <c r="M67" s="12"/>
      <c r="N67" s="8">
        <f t="shared" si="46"/>
        <v>0</v>
      </c>
      <c r="O67" s="3">
        <f t="shared" si="47"/>
        <v>0</v>
      </c>
      <c r="P67" s="12"/>
      <c r="Q67" s="8">
        <f t="shared" si="48"/>
        <v>0</v>
      </c>
      <c r="R67" s="3">
        <f t="shared" si="49"/>
        <v>0</v>
      </c>
      <c r="S67" s="12"/>
      <c r="T67" s="8">
        <f t="shared" si="50"/>
        <v>0</v>
      </c>
      <c r="U67" s="3">
        <f t="shared" si="51"/>
        <v>0</v>
      </c>
    </row>
    <row r="68" spans="1:21" x14ac:dyDescent="0.35">
      <c r="C68" s="42" t="s">
        <v>13</v>
      </c>
      <c r="D68" s="9" t="e">
        <f>AVERAGE($D$58:$D$67)</f>
        <v>#DIV/0!</v>
      </c>
      <c r="G68" s="9" t="e">
        <f>AVERAGE($G$58:$G$67)</f>
        <v>#DIV/0!</v>
      </c>
      <c r="J68" s="9" t="e">
        <f>AVERAGE($J$58:$J$67)</f>
        <v>#DIV/0!</v>
      </c>
      <c r="M68" s="9" t="e">
        <f>AVERAGE($M$58:$M$67)</f>
        <v>#DIV/0!</v>
      </c>
      <c r="P68" s="9" t="e">
        <f>AVERAGE($P$58:$P$67)</f>
        <v>#DIV/0!</v>
      </c>
      <c r="S68" s="9" t="e">
        <f>AVERAGE($S$58:$S$67)</f>
        <v>#DIV/0!</v>
      </c>
    </row>
    <row r="69" spans="1:21" x14ac:dyDescent="0.35">
      <c r="C69" s="42" t="s">
        <v>14</v>
      </c>
      <c r="D69" s="9" t="e">
        <f>STDEV($D$58:$D$67)</f>
        <v>#DIV/0!</v>
      </c>
      <c r="F69" s="5"/>
      <c r="G69" s="9" t="e">
        <f>STDEV($G$58:$G$67)</f>
        <v>#DIV/0!</v>
      </c>
      <c r="J69" s="9" t="e">
        <f>STDEV($J$58:$J$67)</f>
        <v>#DIV/0!</v>
      </c>
      <c r="M69" s="9" t="e">
        <f>STDEV($M$41:$M$50)</f>
        <v>#DIV/0!</v>
      </c>
      <c r="O69" s="5"/>
      <c r="P69" s="9" t="e">
        <f>STDEV($P$58:$P$67)</f>
        <v>#DIV/0!</v>
      </c>
      <c r="R69" s="5"/>
      <c r="S69" s="9" t="e">
        <f>STDEV($S$58:$S$67)</f>
        <v>#DIV/0!</v>
      </c>
    </row>
    <row r="70" spans="1:21" x14ac:dyDescent="0.35">
      <c r="C70" s="42"/>
      <c r="D70" s="9"/>
      <c r="F70" s="5"/>
      <c r="G70" s="9"/>
      <c r="J70" s="9"/>
      <c r="L70" s="5"/>
      <c r="M70" s="9"/>
    </row>
    <row r="71" spans="1:21" x14ac:dyDescent="0.35">
      <c r="C71" s="42"/>
      <c r="D71" s="9"/>
      <c r="F71" s="5"/>
      <c r="G71" s="9"/>
      <c r="J71" s="9"/>
      <c r="L71" s="5"/>
      <c r="M71" s="9"/>
    </row>
    <row r="72" spans="1: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x14ac:dyDescent="0.35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22" x14ac:dyDescent="0.35">
      <c r="A75" s="6">
        <f>A8</f>
        <v>1</v>
      </c>
      <c r="B75" s="38">
        <f>B8</f>
        <v>651201157</v>
      </c>
      <c r="C75" s="39" t="str">
        <f>C8</f>
        <v>นายพีรพัฒน์ เทศสนั่น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22" x14ac:dyDescent="0.35">
      <c r="A76" s="6">
        <f t="shared" ref="A76:C84" si="52">A9</f>
        <v>2</v>
      </c>
      <c r="B76" s="38">
        <f t="shared" si="52"/>
        <v>651201158</v>
      </c>
      <c r="C76" s="39" t="str">
        <f t="shared" si="52"/>
        <v>นางสาวแพรชมพู โกกะพันธ์</v>
      </c>
      <c r="D76" s="12"/>
      <c r="E76" s="8">
        <f t="shared" ref="E76:E84" si="53">IF(D76="-","-",IF(D76=0,0,(D76*E$74)/D$74))</f>
        <v>0</v>
      </c>
      <c r="F76" s="3">
        <f t="shared" ref="F76:F84" si="54">IF(D76="-","-",IF(D76=0,0,IF(D$86=0,50,(50+(10*(STANDARDIZE(D76,D$85,D$86)))))*F$74))</f>
        <v>0</v>
      </c>
      <c r="G76" s="12"/>
      <c r="H76" s="8">
        <f t="shared" ref="H76:H84" si="55">IF(G76="-","-",IF(G76=0,0,(G76*H$74)/G$74))</f>
        <v>0</v>
      </c>
      <c r="I76" s="3">
        <f t="shared" ref="I76:I84" si="56">IF(G76="-","-",IF(G76=0,0,IF($G$86=0,50,(50+(10*(STANDARDIZE(G76,G$85,G$86)))))*I$74))</f>
        <v>0</v>
      </c>
      <c r="J76" s="12"/>
      <c r="K76" s="8">
        <f t="shared" ref="K76:K84" si="57">IF(J76="-","-",IF(J76=0,0,(J76*K$74)/J$74))</f>
        <v>0</v>
      </c>
      <c r="L76" s="3">
        <f t="shared" ref="L76:L84" si="58">IF(J76="-","-",IF(J76=0,0,IF(J$86=0,50,(50+(10*(STANDARDIZE(J76,J$85,J$86)))))*L$74))</f>
        <v>0</v>
      </c>
      <c r="M76" s="12"/>
      <c r="N76" s="8">
        <f t="shared" ref="N76:N84" si="59">IF(M76="-","-",IF(M76=0,0,(M76*N$74)/M$74))</f>
        <v>0</v>
      </c>
      <c r="O76" s="3">
        <f t="shared" ref="O76:O84" si="60">IF(M76="-","-",IF(M76=0,0,IF(M$86=0,50,(50+(10*(STANDARDIZE(M76,M$85,M$86)))))*O$74))</f>
        <v>0</v>
      </c>
      <c r="P76" s="12"/>
      <c r="Q76" s="8">
        <f t="shared" ref="Q76:Q84" si="61">IF(P76="-","-",IF(P76=0,0,(P76*Q$74)/P$74))</f>
        <v>0</v>
      </c>
      <c r="R76" s="3">
        <f t="shared" ref="R76:R84" si="62">IF(P76="-","-",IF(P76=0,0,IF(P$86=0,50,(50+(10*(STANDARDIZE(P76,P$85,P$86)))))*R$74))</f>
        <v>0</v>
      </c>
      <c r="S76" s="12"/>
      <c r="T76" s="8">
        <f t="shared" ref="T76:T84" si="63">IF(S76="-","-",IF(S76=0,0,(S76*T$74)/S$74))</f>
        <v>0</v>
      </c>
      <c r="U76" s="3">
        <f t="shared" ref="U76:U84" si="64">IF(S76="-","-",IF(S76=0,0,IF(S$86=0,50,(50+(10*(STANDARDIZE(S76,S$85,S$86)))))*U$74))</f>
        <v>0</v>
      </c>
    </row>
    <row r="77" spans="1:21" ht="22" x14ac:dyDescent="0.35">
      <c r="A77" s="6">
        <f t="shared" si="52"/>
        <v>3</v>
      </c>
      <c r="B77" s="38">
        <f t="shared" si="52"/>
        <v>651201159</v>
      </c>
      <c r="C77" s="39" t="str">
        <f t="shared" si="52"/>
        <v>นางสาวแพรวดาว ยังโนนตาด</v>
      </c>
      <c r="D77" s="12"/>
      <c r="E77" s="8">
        <f t="shared" si="53"/>
        <v>0</v>
      </c>
      <c r="F77" s="3">
        <f t="shared" si="54"/>
        <v>0</v>
      </c>
      <c r="G77" s="12"/>
      <c r="H77" s="8">
        <f t="shared" si="55"/>
        <v>0</v>
      </c>
      <c r="I77" s="3">
        <f t="shared" si="56"/>
        <v>0</v>
      </c>
      <c r="J77" s="12"/>
      <c r="K77" s="8">
        <f t="shared" si="57"/>
        <v>0</v>
      </c>
      <c r="L77" s="3">
        <f t="shared" si="58"/>
        <v>0</v>
      </c>
      <c r="M77" s="12"/>
      <c r="N77" s="8">
        <f t="shared" si="59"/>
        <v>0</v>
      </c>
      <c r="O77" s="3">
        <f t="shared" si="60"/>
        <v>0</v>
      </c>
      <c r="P77" s="12"/>
      <c r="Q77" s="8">
        <f t="shared" si="61"/>
        <v>0</v>
      </c>
      <c r="R77" s="3">
        <f t="shared" si="62"/>
        <v>0</v>
      </c>
      <c r="S77" s="12"/>
      <c r="T77" s="8">
        <f t="shared" si="63"/>
        <v>0</v>
      </c>
      <c r="U77" s="3">
        <f t="shared" si="64"/>
        <v>0</v>
      </c>
    </row>
    <row r="78" spans="1:21" ht="22" x14ac:dyDescent="0.35">
      <c r="A78" s="6">
        <f t="shared" si="52"/>
        <v>4</v>
      </c>
      <c r="B78" s="38">
        <f t="shared" si="52"/>
        <v>651201160</v>
      </c>
      <c r="C78" s="39" t="str">
        <f t="shared" si="52"/>
        <v>นางสาวภรรัช ป้องขันธ์</v>
      </c>
      <c r="D78" s="12"/>
      <c r="E78" s="8">
        <f t="shared" si="53"/>
        <v>0</v>
      </c>
      <c r="F78" s="3">
        <f t="shared" si="54"/>
        <v>0</v>
      </c>
      <c r="G78" s="12"/>
      <c r="H78" s="8">
        <f t="shared" si="55"/>
        <v>0</v>
      </c>
      <c r="I78" s="3">
        <f t="shared" si="56"/>
        <v>0</v>
      </c>
      <c r="J78" s="12"/>
      <c r="K78" s="8">
        <f t="shared" si="57"/>
        <v>0</v>
      </c>
      <c r="L78" s="3">
        <f t="shared" si="58"/>
        <v>0</v>
      </c>
      <c r="M78" s="12"/>
      <c r="N78" s="8">
        <f t="shared" si="59"/>
        <v>0</v>
      </c>
      <c r="O78" s="3">
        <f t="shared" si="60"/>
        <v>0</v>
      </c>
      <c r="P78" s="12"/>
      <c r="Q78" s="8">
        <f t="shared" si="61"/>
        <v>0</v>
      </c>
      <c r="R78" s="3">
        <f t="shared" si="62"/>
        <v>0</v>
      </c>
      <c r="S78" s="12"/>
      <c r="T78" s="8">
        <f t="shared" si="63"/>
        <v>0</v>
      </c>
      <c r="U78" s="3">
        <f t="shared" si="64"/>
        <v>0</v>
      </c>
    </row>
    <row r="79" spans="1:21" ht="22" x14ac:dyDescent="0.35">
      <c r="A79" s="6">
        <f t="shared" si="52"/>
        <v>5</v>
      </c>
      <c r="B79" s="38">
        <f t="shared" si="52"/>
        <v>651201161</v>
      </c>
      <c r="C79" s="39" t="str">
        <f t="shared" si="52"/>
        <v>นางสาวภูริชญา สีกา</v>
      </c>
      <c r="D79" s="12"/>
      <c r="E79" s="8">
        <f t="shared" si="53"/>
        <v>0</v>
      </c>
      <c r="F79" s="3">
        <f t="shared" si="54"/>
        <v>0</v>
      </c>
      <c r="G79" s="12"/>
      <c r="H79" s="8">
        <f t="shared" si="55"/>
        <v>0</v>
      </c>
      <c r="I79" s="3">
        <f t="shared" si="56"/>
        <v>0</v>
      </c>
      <c r="J79" s="12"/>
      <c r="K79" s="8">
        <f t="shared" si="57"/>
        <v>0</v>
      </c>
      <c r="L79" s="3">
        <f t="shared" si="58"/>
        <v>0</v>
      </c>
      <c r="M79" s="12"/>
      <c r="N79" s="8">
        <f t="shared" si="59"/>
        <v>0</v>
      </c>
      <c r="O79" s="3">
        <f t="shared" si="60"/>
        <v>0</v>
      </c>
      <c r="P79" s="12"/>
      <c r="Q79" s="8">
        <f t="shared" si="61"/>
        <v>0</v>
      </c>
      <c r="R79" s="3">
        <f t="shared" si="62"/>
        <v>0</v>
      </c>
      <c r="S79" s="12"/>
      <c r="T79" s="8">
        <f t="shared" si="63"/>
        <v>0</v>
      </c>
      <c r="U79" s="3">
        <f t="shared" si="64"/>
        <v>0</v>
      </c>
    </row>
    <row r="80" spans="1:21" ht="22" x14ac:dyDescent="0.35">
      <c r="A80" s="6">
        <f t="shared" si="52"/>
        <v>6</v>
      </c>
      <c r="B80" s="38">
        <f t="shared" si="52"/>
        <v>651201162</v>
      </c>
      <c r="C80" s="39" t="str">
        <f t="shared" si="52"/>
        <v>นางสาวมนัญชยา กรมเกลียว</v>
      </c>
      <c r="D80" s="12"/>
      <c r="E80" s="8">
        <f t="shared" si="53"/>
        <v>0</v>
      </c>
      <c r="F80" s="3">
        <f t="shared" si="54"/>
        <v>0</v>
      </c>
      <c r="G80" s="12"/>
      <c r="H80" s="8">
        <f t="shared" si="55"/>
        <v>0</v>
      </c>
      <c r="I80" s="3">
        <f t="shared" si="56"/>
        <v>0</v>
      </c>
      <c r="J80" s="12"/>
      <c r="K80" s="8">
        <f t="shared" si="57"/>
        <v>0</v>
      </c>
      <c r="L80" s="3">
        <f t="shared" si="58"/>
        <v>0</v>
      </c>
      <c r="M80" s="12"/>
      <c r="N80" s="8">
        <f t="shared" si="59"/>
        <v>0</v>
      </c>
      <c r="O80" s="3">
        <f t="shared" si="60"/>
        <v>0</v>
      </c>
      <c r="P80" s="12"/>
      <c r="Q80" s="8">
        <f t="shared" si="61"/>
        <v>0</v>
      </c>
      <c r="R80" s="3">
        <f t="shared" si="62"/>
        <v>0</v>
      </c>
      <c r="S80" s="12"/>
      <c r="T80" s="8">
        <f t="shared" si="63"/>
        <v>0</v>
      </c>
      <c r="U80" s="3">
        <f t="shared" si="64"/>
        <v>0</v>
      </c>
    </row>
    <row r="81" spans="1:21" ht="22" x14ac:dyDescent="0.35">
      <c r="A81" s="6">
        <f t="shared" si="52"/>
        <v>7</v>
      </c>
      <c r="B81" s="38">
        <f t="shared" si="52"/>
        <v>651201163</v>
      </c>
      <c r="C81" s="39" t="str">
        <f t="shared" si="52"/>
        <v>นางสาวมลธิญา วิจิตรปัญญา</v>
      </c>
      <c r="D81" s="12"/>
      <c r="E81" s="8">
        <f t="shared" si="53"/>
        <v>0</v>
      </c>
      <c r="F81" s="3">
        <f t="shared" si="54"/>
        <v>0</v>
      </c>
      <c r="G81" s="12"/>
      <c r="H81" s="8">
        <f t="shared" si="55"/>
        <v>0</v>
      </c>
      <c r="I81" s="3">
        <f t="shared" si="56"/>
        <v>0</v>
      </c>
      <c r="J81" s="12"/>
      <c r="K81" s="8">
        <f t="shared" si="57"/>
        <v>0</v>
      </c>
      <c r="L81" s="3">
        <f t="shared" si="58"/>
        <v>0</v>
      </c>
      <c r="M81" s="12"/>
      <c r="N81" s="8">
        <f t="shared" si="59"/>
        <v>0</v>
      </c>
      <c r="O81" s="3">
        <f t="shared" si="60"/>
        <v>0</v>
      </c>
      <c r="P81" s="12"/>
      <c r="Q81" s="8">
        <f t="shared" si="61"/>
        <v>0</v>
      </c>
      <c r="R81" s="3">
        <f t="shared" si="62"/>
        <v>0</v>
      </c>
      <c r="S81" s="12"/>
      <c r="T81" s="8">
        <f t="shared" si="63"/>
        <v>0</v>
      </c>
      <c r="U81" s="3">
        <f t="shared" si="64"/>
        <v>0</v>
      </c>
    </row>
    <row r="82" spans="1:21" ht="22" x14ac:dyDescent="0.35">
      <c r="A82" s="6">
        <f t="shared" si="52"/>
        <v>8</v>
      </c>
      <c r="B82" s="38">
        <f t="shared" si="52"/>
        <v>651201164</v>
      </c>
      <c r="C82" s="39" t="str">
        <f t="shared" si="52"/>
        <v>นางสาวยุวดี ว่องไว</v>
      </c>
      <c r="D82" s="12"/>
      <c r="E82" s="8">
        <f t="shared" si="53"/>
        <v>0</v>
      </c>
      <c r="F82" s="3">
        <f t="shared" si="54"/>
        <v>0</v>
      </c>
      <c r="G82" s="12"/>
      <c r="H82" s="8">
        <f t="shared" si="55"/>
        <v>0</v>
      </c>
      <c r="I82" s="3">
        <f t="shared" si="56"/>
        <v>0</v>
      </c>
      <c r="J82" s="12"/>
      <c r="K82" s="8">
        <f t="shared" si="57"/>
        <v>0</v>
      </c>
      <c r="L82" s="3">
        <f t="shared" si="58"/>
        <v>0</v>
      </c>
      <c r="M82" s="12"/>
      <c r="N82" s="8">
        <f t="shared" si="59"/>
        <v>0</v>
      </c>
      <c r="O82" s="3">
        <f t="shared" si="60"/>
        <v>0</v>
      </c>
      <c r="P82" s="12"/>
      <c r="Q82" s="8">
        <f t="shared" si="61"/>
        <v>0</v>
      </c>
      <c r="R82" s="3">
        <f t="shared" si="62"/>
        <v>0</v>
      </c>
      <c r="S82" s="12"/>
      <c r="T82" s="8">
        <f t="shared" si="63"/>
        <v>0</v>
      </c>
      <c r="U82" s="3">
        <f t="shared" si="64"/>
        <v>0</v>
      </c>
    </row>
    <row r="83" spans="1:21" x14ac:dyDescent="0.35">
      <c r="A83" s="6">
        <f t="shared" si="52"/>
        <v>9</v>
      </c>
      <c r="B83" s="38">
        <f t="shared" si="52"/>
        <v>0</v>
      </c>
      <c r="C83" s="39">
        <f t="shared" si="52"/>
        <v>0</v>
      </c>
      <c r="D83" s="12"/>
      <c r="E83" s="8">
        <f t="shared" si="53"/>
        <v>0</v>
      </c>
      <c r="F83" s="3">
        <f t="shared" si="54"/>
        <v>0</v>
      </c>
      <c r="G83" s="12"/>
      <c r="H83" s="8">
        <f t="shared" si="55"/>
        <v>0</v>
      </c>
      <c r="I83" s="3">
        <f t="shared" si="56"/>
        <v>0</v>
      </c>
      <c r="J83" s="12"/>
      <c r="K83" s="8">
        <f t="shared" si="57"/>
        <v>0</v>
      </c>
      <c r="L83" s="3">
        <f t="shared" si="58"/>
        <v>0</v>
      </c>
      <c r="M83" s="12"/>
      <c r="N83" s="8">
        <f t="shared" si="59"/>
        <v>0</v>
      </c>
      <c r="O83" s="3">
        <f t="shared" si="60"/>
        <v>0</v>
      </c>
      <c r="P83" s="12"/>
      <c r="Q83" s="8">
        <f t="shared" si="61"/>
        <v>0</v>
      </c>
      <c r="R83" s="3">
        <f t="shared" si="62"/>
        <v>0</v>
      </c>
      <c r="S83" s="12"/>
      <c r="T83" s="8">
        <f t="shared" si="63"/>
        <v>0</v>
      </c>
      <c r="U83" s="3">
        <f t="shared" si="64"/>
        <v>0</v>
      </c>
    </row>
    <row r="84" spans="1:21" x14ac:dyDescent="0.35">
      <c r="A84" s="6">
        <f t="shared" si="52"/>
        <v>10</v>
      </c>
      <c r="B84" s="38">
        <f t="shared" si="52"/>
        <v>0</v>
      </c>
      <c r="C84" s="39">
        <f t="shared" si="52"/>
        <v>0</v>
      </c>
      <c r="D84" s="12"/>
      <c r="E84" s="8">
        <f t="shared" si="53"/>
        <v>0</v>
      </c>
      <c r="F84" s="3">
        <f t="shared" si="54"/>
        <v>0</v>
      </c>
      <c r="G84" s="12"/>
      <c r="H84" s="8">
        <f t="shared" si="55"/>
        <v>0</v>
      </c>
      <c r="I84" s="3">
        <f t="shared" si="56"/>
        <v>0</v>
      </c>
      <c r="J84" s="12"/>
      <c r="K84" s="8">
        <f t="shared" si="57"/>
        <v>0</v>
      </c>
      <c r="L84" s="3">
        <f t="shared" si="58"/>
        <v>0</v>
      </c>
      <c r="M84" s="12"/>
      <c r="N84" s="8">
        <f t="shared" si="59"/>
        <v>0</v>
      </c>
      <c r="O84" s="3">
        <f t="shared" si="60"/>
        <v>0</v>
      </c>
      <c r="P84" s="12"/>
      <c r="Q84" s="8">
        <f t="shared" si="61"/>
        <v>0</v>
      </c>
      <c r="R84" s="3">
        <f t="shared" si="62"/>
        <v>0</v>
      </c>
      <c r="S84" s="12"/>
      <c r="T84" s="8">
        <f t="shared" si="63"/>
        <v>0</v>
      </c>
      <c r="U84" s="3">
        <f t="shared" si="64"/>
        <v>0</v>
      </c>
    </row>
    <row r="85" spans="1:21" x14ac:dyDescent="0.35">
      <c r="C85" s="42" t="s">
        <v>13</v>
      </c>
      <c r="D85" s="9" t="e">
        <f>AVERAGE($D$75:$D$84)</f>
        <v>#DIV/0!</v>
      </c>
      <c r="G85" s="9" t="e">
        <f>AVERAGE($G$75:$G$84)</f>
        <v>#DIV/0!</v>
      </c>
      <c r="J85" s="9" t="e">
        <f>AVERAGE($J$75:$J$84)</f>
        <v>#DIV/0!</v>
      </c>
      <c r="M85" s="9" t="e">
        <f>AVERAGE($M$75:$M$84)</f>
        <v>#DIV/0!</v>
      </c>
      <c r="P85" s="9" t="e">
        <f>AVERAGE($P$75:$P$84)</f>
        <v>#DIV/0!</v>
      </c>
      <c r="S85" s="9" t="e">
        <f>AVERAGE($S$75:$S$84)</f>
        <v>#DIV/0!</v>
      </c>
    </row>
    <row r="86" spans="1:21" x14ac:dyDescent="0.35">
      <c r="C86" s="42" t="s">
        <v>14</v>
      </c>
      <c r="D86" s="9" t="e">
        <f>STDEV($D$75:$D$84)</f>
        <v>#DIV/0!</v>
      </c>
      <c r="F86" s="5"/>
      <c r="G86" s="9" t="e">
        <f>STDEV($G$75:$G$84)</f>
        <v>#DIV/0!</v>
      </c>
      <c r="J86" s="9" t="e">
        <f>STDEV(J75:J84)</f>
        <v>#DIV/0!</v>
      </c>
      <c r="L86" s="5"/>
      <c r="M86" s="9" t="e">
        <f>STDEV($M$75:$M$84)</f>
        <v>#DIV/0!</v>
      </c>
      <c r="P86" s="9" t="e">
        <f>STDEV(P75:P84)</f>
        <v>#DIV/0!</v>
      </c>
      <c r="S86" s="9" t="e">
        <f>STDEV($S$75:$S$84)</f>
        <v>#DIV/0!</v>
      </c>
    </row>
    <row r="87" spans="1:21" x14ac:dyDescent="0.35">
      <c r="C87" s="42"/>
      <c r="D87" s="9"/>
      <c r="F87" s="5"/>
      <c r="G87" s="9"/>
      <c r="J87" s="9"/>
      <c r="L87" s="5"/>
      <c r="M87" s="9"/>
      <c r="P87" s="1" t="s">
        <v>2</v>
      </c>
    </row>
    <row r="88" spans="1:21" x14ac:dyDescent="0.35">
      <c r="C88" s="42"/>
      <c r="D88" s="9"/>
      <c r="F88" s="5"/>
      <c r="G88" s="9"/>
      <c r="J88" s="9"/>
      <c r="L88" s="5"/>
      <c r="M88" s="9"/>
    </row>
    <row r="89" spans="1:21" x14ac:dyDescent="0.35">
      <c r="B89" s="85" t="s">
        <v>148</v>
      </c>
      <c r="C89" s="42"/>
      <c r="D89" s="9"/>
      <c r="F89" s="5"/>
      <c r="G89" s="9"/>
      <c r="J89" s="9"/>
      <c r="L89" s="5"/>
      <c r="M89" s="9"/>
      <c r="P89" s="9"/>
    </row>
    <row r="90" spans="1:21" x14ac:dyDescent="0.35">
      <c r="C90" s="42"/>
      <c r="D90" s="9"/>
      <c r="F90" s="5"/>
      <c r="G90" s="9"/>
    </row>
    <row r="91" spans="1: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</row>
    <row r="92" spans="1: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1</v>
      </c>
      <c r="K92" s="7">
        <f>ROUND((J92*100)/$J$101,2)</f>
        <v>14.29</v>
      </c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</row>
    <row r="93" spans="1:21" x14ac:dyDescent="0.35">
      <c r="A93" s="6">
        <f>A8</f>
        <v>1</v>
      </c>
      <c r="B93" s="6">
        <f t="shared" ref="B93:C93" si="65">B8</f>
        <v>651201157</v>
      </c>
      <c r="C93" s="78" t="str">
        <f t="shared" si="65"/>
        <v>นายพีรพัฒน์ เทศสนั่น</v>
      </c>
      <c r="D93" s="3">
        <f>ROUND(SUM(E8,H8,K8,N8,Q8,T8,E24,H24,K24,N24,Q24,T24,E41,H41,K41,N41,Q41,T41,E58,H58,K58,N58,Q58,T58,E75,H75,K75,N75,Q75,T75),2)</f>
        <v>83.39</v>
      </c>
      <c r="E93" s="8">
        <f>ROUND(SUM(F8,I8,L8,O8,R8,U8,F24,I24,L24,O24,R24,U24,F41,I41,L41,O41,R41,U41,F58,I58,L58,O58,R58,U58,F75,I75,L75,O75,R75,U75),2)</f>
        <v>565.6</v>
      </c>
      <c r="F93" s="204" t="str">
        <f t="shared" ref="F93:F102" si="66">IF(D93=0,"-",IF(D93&gt;=$R$92,$T$92,IF(D93&gt;=$R$93,$T$93,IF(D93&gt;=$R$94,$T$94,IF(D93&gt;=$R$95,$T$95,IF(D93&gt;=$R$96,$T$96,$T$97))))))</f>
        <v>B+</v>
      </c>
      <c r="G93" s="204"/>
      <c r="H93" s="80"/>
      <c r="I93" s="81" t="s">
        <v>111</v>
      </c>
      <c r="J93" s="77">
        <f t="shared" ref="J93:J100" si="67">COUNTIF($F$93:$G$102,I93)</f>
        <v>4</v>
      </c>
      <c r="K93" s="7">
        <f t="shared" ref="K93:K101" si="68">ROUND((J93*100)/$J$101,2)</f>
        <v>57.14</v>
      </c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</row>
    <row r="94" spans="1:21" x14ac:dyDescent="0.35">
      <c r="A94" s="6">
        <f t="shared" ref="A94:C102" si="69">A9</f>
        <v>2</v>
      </c>
      <c r="B94" s="6">
        <f t="shared" si="69"/>
        <v>651201158</v>
      </c>
      <c r="C94" s="78" t="str">
        <f t="shared" si="69"/>
        <v>นางสาวแพรชมพู โกกะพันธ์</v>
      </c>
      <c r="D94" s="3">
        <f t="shared" ref="D94:E102" si="70">ROUND(SUM(E9,H9,K9,N9,Q9,T9,E25,H25,K25,N25,Q25,T25,E42,H42,K42,N42,Q42,T42,E59,H59,K59,N59,Q59,T59,E76,H76,K76,N76,Q76,T76),2)</f>
        <v>0</v>
      </c>
      <c r="E94" s="8">
        <f t="shared" si="70"/>
        <v>0</v>
      </c>
      <c r="F94" s="204" t="str">
        <f>IF(D94=0,"-",IF(D94&gt;=$R$92,$T$92,IF(D94&gt;=$R$93,$T$93,IF(D94&gt;=$R$94,$T$94,IF(D94&gt;=$R$95,$T$95,IF(D94&gt;=$R$96,$T$96,$T$97))))))</f>
        <v>-</v>
      </c>
      <c r="G94" s="204"/>
      <c r="H94" s="80"/>
      <c r="I94" s="77" t="s">
        <v>110</v>
      </c>
      <c r="J94" s="77">
        <f t="shared" si="67"/>
        <v>1</v>
      </c>
      <c r="K94" s="7">
        <f t="shared" si="68"/>
        <v>14.29</v>
      </c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</row>
    <row r="95" spans="1:21" x14ac:dyDescent="0.35">
      <c r="A95" s="6">
        <f t="shared" si="69"/>
        <v>3</v>
      </c>
      <c r="B95" s="6">
        <f t="shared" si="69"/>
        <v>651201159</v>
      </c>
      <c r="C95" s="78" t="str">
        <f t="shared" si="69"/>
        <v>นางสาวแพรวดาว ยังโนนตาด</v>
      </c>
      <c r="D95" s="3">
        <f t="shared" si="70"/>
        <v>83.06</v>
      </c>
      <c r="E95" s="8">
        <f t="shared" si="70"/>
        <v>554.25</v>
      </c>
      <c r="F95" s="204" t="str">
        <f t="shared" si="66"/>
        <v>B+</v>
      </c>
      <c r="G95" s="204"/>
      <c r="H95" s="80"/>
      <c r="I95" s="77" t="s">
        <v>131</v>
      </c>
      <c r="J95" s="77">
        <f t="shared" si="67"/>
        <v>1</v>
      </c>
      <c r="K95" s="7">
        <f t="shared" si="68"/>
        <v>14.29</v>
      </c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</row>
    <row r="96" spans="1:21" x14ac:dyDescent="0.35">
      <c r="A96" s="6">
        <f t="shared" si="69"/>
        <v>4</v>
      </c>
      <c r="B96" s="6">
        <f t="shared" si="69"/>
        <v>651201160</v>
      </c>
      <c r="C96" s="78" t="str">
        <f t="shared" si="69"/>
        <v>นางสาวภรรัช ป้องขันธ์</v>
      </c>
      <c r="D96" s="3">
        <f t="shared" si="70"/>
        <v>76.709999999999994</v>
      </c>
      <c r="E96" s="8">
        <f t="shared" si="70"/>
        <v>479.44</v>
      </c>
      <c r="F96" s="204" t="str">
        <f t="shared" si="66"/>
        <v>B</v>
      </c>
      <c r="G96" s="204"/>
      <c r="H96" s="80"/>
      <c r="I96" s="77" t="s">
        <v>132</v>
      </c>
      <c r="J96" s="77">
        <f t="shared" si="67"/>
        <v>0</v>
      </c>
      <c r="K96" s="7">
        <f t="shared" si="68"/>
        <v>0</v>
      </c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</row>
    <row r="97" spans="1:20" x14ac:dyDescent="0.35">
      <c r="A97" s="6">
        <f t="shared" si="69"/>
        <v>5</v>
      </c>
      <c r="B97" s="6">
        <f t="shared" si="69"/>
        <v>651201161</v>
      </c>
      <c r="C97" s="78" t="str">
        <f t="shared" si="69"/>
        <v>นางสาวภูริชญา สีกา</v>
      </c>
      <c r="D97" s="3">
        <f t="shared" si="70"/>
        <v>81.08</v>
      </c>
      <c r="E97" s="8">
        <f t="shared" si="70"/>
        <v>535.51</v>
      </c>
      <c r="F97" s="204" t="str">
        <f t="shared" si="66"/>
        <v>B+</v>
      </c>
      <c r="G97" s="204"/>
      <c r="H97" s="80"/>
      <c r="I97" s="77" t="s">
        <v>133</v>
      </c>
      <c r="J97" s="77">
        <f t="shared" si="67"/>
        <v>0</v>
      </c>
      <c r="K97" s="7">
        <f t="shared" si="68"/>
        <v>0</v>
      </c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</row>
    <row r="98" spans="1:20" x14ac:dyDescent="0.35">
      <c r="A98" s="6">
        <f t="shared" si="69"/>
        <v>6</v>
      </c>
      <c r="B98" s="6">
        <f t="shared" si="69"/>
        <v>651201162</v>
      </c>
      <c r="C98" s="78" t="str">
        <f t="shared" si="69"/>
        <v>นางสาวมนัญชยา กรมเกลียว</v>
      </c>
      <c r="D98" s="3">
        <f t="shared" si="70"/>
        <v>70.05</v>
      </c>
      <c r="E98" s="8">
        <f t="shared" si="70"/>
        <v>397.23</v>
      </c>
      <c r="F98" s="204" t="str">
        <f t="shared" si="66"/>
        <v>C+</v>
      </c>
      <c r="G98" s="204"/>
      <c r="H98" s="80"/>
      <c r="I98" s="82" t="s">
        <v>134</v>
      </c>
      <c r="J98" s="77">
        <f t="shared" si="67"/>
        <v>0</v>
      </c>
      <c r="K98" s="7">
        <f t="shared" si="68"/>
        <v>0</v>
      </c>
      <c r="L98" s="5"/>
      <c r="M98" s="5"/>
      <c r="N98" s="5"/>
      <c r="O98" s="5"/>
      <c r="P98" s="5"/>
      <c r="Q98" s="5"/>
      <c r="R98" s="5"/>
    </row>
    <row r="99" spans="1:20" x14ac:dyDescent="0.35">
      <c r="A99" s="6">
        <f t="shared" si="69"/>
        <v>7</v>
      </c>
      <c r="B99" s="6">
        <f t="shared" si="69"/>
        <v>651201163</v>
      </c>
      <c r="C99" s="78" t="str">
        <f t="shared" si="69"/>
        <v>นางสาวมลธิญา วิจิตรปัญญา</v>
      </c>
      <c r="D99" s="3">
        <f t="shared" si="70"/>
        <v>81.81</v>
      </c>
      <c r="E99" s="8">
        <f t="shared" si="70"/>
        <v>535.97</v>
      </c>
      <c r="F99" s="204" t="str">
        <f t="shared" si="66"/>
        <v>B+</v>
      </c>
      <c r="G99" s="204"/>
      <c r="H99" s="80"/>
      <c r="I99" s="82" t="s">
        <v>135</v>
      </c>
      <c r="J99" s="77">
        <f t="shared" si="67"/>
        <v>0</v>
      </c>
      <c r="K99" s="7">
        <f t="shared" si="68"/>
        <v>0</v>
      </c>
      <c r="L99" s="5"/>
      <c r="M99" s="5"/>
      <c r="N99" s="5"/>
      <c r="O99" s="5"/>
      <c r="P99" s="5"/>
      <c r="Q99" s="5"/>
      <c r="R99" s="5"/>
    </row>
    <row r="100" spans="1:20" x14ac:dyDescent="0.35">
      <c r="A100" s="6">
        <f t="shared" si="69"/>
        <v>8</v>
      </c>
      <c r="B100" s="6">
        <f t="shared" si="69"/>
        <v>651201164</v>
      </c>
      <c r="C100" s="78" t="str">
        <f t="shared" si="69"/>
        <v>นางสาวยุวดี ว่องไว</v>
      </c>
      <c r="D100" s="3">
        <f t="shared" si="70"/>
        <v>85.11</v>
      </c>
      <c r="E100" s="8">
        <f t="shared" si="70"/>
        <v>580.88</v>
      </c>
      <c r="F100" s="204" t="str">
        <f t="shared" si="66"/>
        <v>A</v>
      </c>
      <c r="G100" s="204"/>
      <c r="H100" s="80"/>
      <c r="I100" s="82" t="s">
        <v>145</v>
      </c>
      <c r="J100" s="77">
        <f t="shared" si="67"/>
        <v>0</v>
      </c>
      <c r="K100" s="7">
        <f t="shared" si="68"/>
        <v>0</v>
      </c>
      <c r="L100" s="5"/>
      <c r="M100" s="5"/>
      <c r="N100" s="5"/>
      <c r="O100" s="5"/>
      <c r="P100" s="5"/>
      <c r="Q100" s="5"/>
      <c r="R100" s="5"/>
    </row>
    <row r="101" spans="1:20" x14ac:dyDescent="0.35">
      <c r="A101" s="6">
        <f t="shared" si="69"/>
        <v>9</v>
      </c>
      <c r="B101" s="6">
        <f t="shared" si="69"/>
        <v>0</v>
      </c>
      <c r="C101" s="78">
        <f t="shared" si="69"/>
        <v>0</v>
      </c>
      <c r="D101" s="3">
        <f t="shared" si="70"/>
        <v>0</v>
      </c>
      <c r="E101" s="8">
        <f t="shared" si="70"/>
        <v>0</v>
      </c>
      <c r="F101" s="204" t="str">
        <f t="shared" si="66"/>
        <v>-</v>
      </c>
      <c r="G101" s="204"/>
      <c r="H101" s="80"/>
      <c r="I101" s="83" t="s">
        <v>1</v>
      </c>
      <c r="J101" s="83">
        <f>SUM(J92:J100)</f>
        <v>7</v>
      </c>
      <c r="K101" s="84">
        <f t="shared" si="68"/>
        <v>100</v>
      </c>
      <c r="L101" s="5"/>
      <c r="M101" s="5"/>
      <c r="N101" s="5"/>
      <c r="O101" s="5"/>
      <c r="P101" s="5"/>
      <c r="Q101" s="5"/>
      <c r="R101" s="5"/>
    </row>
    <row r="102" spans="1:20" x14ac:dyDescent="0.35">
      <c r="A102" s="6">
        <f t="shared" si="69"/>
        <v>10</v>
      </c>
      <c r="B102" s="6">
        <f t="shared" si="69"/>
        <v>0</v>
      </c>
      <c r="C102" s="78">
        <f t="shared" si="69"/>
        <v>0</v>
      </c>
      <c r="D102" s="3">
        <f t="shared" si="70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6"/>
        <v>-</v>
      </c>
      <c r="G102" s="204"/>
      <c r="H102" s="80"/>
      <c r="I102" s="80"/>
    </row>
    <row r="103" spans="1:20" x14ac:dyDescent="0.35">
      <c r="C103" s="79"/>
      <c r="D103" s="19"/>
      <c r="E103" s="19"/>
      <c r="F103" s="42"/>
      <c r="G103" s="42"/>
      <c r="H103" s="42"/>
      <c r="I103" s="42"/>
    </row>
    <row r="104" spans="1:20" x14ac:dyDescent="0.35">
      <c r="I104" s="45"/>
      <c r="J104" s="45"/>
    </row>
    <row r="105" spans="1:20" x14ac:dyDescent="0.35">
      <c r="B105" s="85" t="s">
        <v>147</v>
      </c>
      <c r="I105" s="45"/>
      <c r="J105" s="45"/>
      <c r="K105" s="45"/>
      <c r="L105" s="1" t="s">
        <v>2</v>
      </c>
    </row>
    <row r="106" spans="1:20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I106" s="5" t="s">
        <v>38</v>
      </c>
      <c r="J106" s="9"/>
      <c r="L106" s="5"/>
      <c r="O106" s="5" t="s">
        <v>39</v>
      </c>
      <c r="Q106" s="9"/>
    </row>
    <row r="107" spans="1:20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</row>
    <row r="108" spans="1:20" x14ac:dyDescent="0.35">
      <c r="A108" s="6">
        <f>A8</f>
        <v>1</v>
      </c>
      <c r="B108" s="6">
        <f t="shared" ref="B108:C108" si="71">B8</f>
        <v>651201157</v>
      </c>
      <c r="C108" s="78" t="str">
        <f t="shared" si="71"/>
        <v>นายพีรพัฒน์ เทศสนั่น</v>
      </c>
      <c r="D108" s="3">
        <f>ROUND(SUM(E8,H8,K8,N8,Q8,T8,E24,H24,K24,N24,Q24,T24,E41,H41,K41,N41,Q41,T41,E58,H58,K58,N58,Q58,T58,E75,H75,K75,N75,Q75,T75),2)</f>
        <v>83.39</v>
      </c>
      <c r="E108" s="3">
        <f>ROUND(SUM(F8,I8,L8,O8,R8,U8,F24,I24,L24,O24,R24,U24,F41,I41,L41,O41,R41,U41,F58,I58,L58,O58,R58,U58,F75,I75,L75,O75,R75,U75),2)</f>
        <v>565.6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A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2">Q108-O108</f>
        <v>#VALUE!</v>
      </c>
      <c r="S108" s="7" t="str">
        <f>IF($E$128=7,$C$124,"-")</f>
        <v>-</v>
      </c>
      <c r="T108" s="27" t="str">
        <f>IF(S108="-","-",COUNTIF($G$108:$G$117,S108))</f>
        <v>-</v>
      </c>
    </row>
    <row r="109" spans="1:20" x14ac:dyDescent="0.35">
      <c r="A109" s="6">
        <f t="shared" ref="A109:C117" si="73">A9</f>
        <v>2</v>
      </c>
      <c r="B109" s="6">
        <f t="shared" si="73"/>
        <v>651201158</v>
      </c>
      <c r="C109" s="78" t="str">
        <f t="shared" si="73"/>
        <v>นางสาวแพรชมพู โกกะพันธ์</v>
      </c>
      <c r="D109" s="3">
        <f t="shared" ref="D109:E117" si="74">ROUND(SUM(E9,H9,K9,N9,Q9,T9,E25,H25,K25,N25,Q25,T25,E42,H42,K42,N42,Q42,T42,E59,H59,K59,N59,Q59,T59,E76,H76,K76,N76,Q76,T76),2)</f>
        <v>0</v>
      </c>
      <c r="E109" s="3">
        <f t="shared" si="74"/>
        <v>0</v>
      </c>
      <c r="F109" s="7" t="str">
        <f t="shared" ref="F109:F117" si="75">IF($I$111="-","-",IF(E109="-","-",IF(E109&gt;=$I$108,$L$108,IF(E109&gt;=$I$109,$L$109,IF(E109&gt;=$I$110,$L$110,IF(E109&gt;=$I$111,$L$111,IF(E109&gt;=$I$112,$L$112,IF(E109&gt;=$I$113,$L$113,IF(E109&gt;=$I$114,$L$114,IF(E109&gt;=$I$115,$L$115,"I/E"))))))))))</f>
        <v>I/E</v>
      </c>
      <c r="G109" s="7" t="str">
        <f t="shared" ref="G109:G117" si="76">IF($P$111="-","-",IF(E109="-","-",IF(E109&gt;=$O$108,$S$108,IF(E109&gt;=$O$109,$S$109,IF(E109&gt;=$O$110,$S$110,IF(E109&gt;=$O$111,$S$111,IF(E109&gt;=$O$112,$S$112,IF(E109&gt;=$O$113,$S$113,IF(E109&gt;=$O$114,$S$114,"I/E")))))))))</f>
        <v>-</v>
      </c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7">J109-I109</f>
        <v>#VALUE!</v>
      </c>
      <c r="L109" s="7" t="str">
        <f>IF($E$128=8,$C$125,IF($E$128=6,$C$124,"-"))</f>
        <v>-</v>
      </c>
      <c r="M109" s="27" t="str">
        <f t="shared" ref="M109:M115" si="78">IF(L109="-","-",COUNTIF($F$108:$F$117,L109))</f>
        <v>-</v>
      </c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2"/>
        <v>#VALUE!</v>
      </c>
      <c r="S109" s="7" t="str">
        <f>IF($E$128=7,$C$125,IF($E$128=5,$C$124,"-"))</f>
        <v>-</v>
      </c>
      <c r="T109" s="27" t="str">
        <f t="shared" ref="T109:T114" si="79">IF(S109="-","-",COUNTIF($G$108:$G$117,S109))</f>
        <v>-</v>
      </c>
    </row>
    <row r="110" spans="1:20" x14ac:dyDescent="0.35">
      <c r="A110" s="6">
        <f t="shared" si="73"/>
        <v>3</v>
      </c>
      <c r="B110" s="6">
        <f t="shared" si="73"/>
        <v>651201159</v>
      </c>
      <c r="C110" s="78" t="str">
        <f t="shared" si="73"/>
        <v>นางสาวแพรวดาว ยังโนนตาด</v>
      </c>
      <c r="D110" s="3">
        <f t="shared" si="74"/>
        <v>83.06</v>
      </c>
      <c r="E110" s="3">
        <f t="shared" si="74"/>
        <v>554.25</v>
      </c>
      <c r="F110" s="7" t="str">
        <f t="shared" si="75"/>
        <v>A</v>
      </c>
      <c r="G110" s="7" t="str">
        <f t="shared" si="76"/>
        <v>-</v>
      </c>
      <c r="I110" s="47">
        <f>IF(OR($E$128=8,$E$128=6,$E$128=4),$J$111+0.01,"-")</f>
        <v>550.66</v>
      </c>
      <c r="J110" s="47">
        <f>IF(OR($E$128=8,$E$128=6,$E$128=4),$I$110+$E$129,"-")</f>
        <v>695.88</v>
      </c>
      <c r="K110" s="91">
        <f t="shared" si="77"/>
        <v>145.22000000000003</v>
      </c>
      <c r="L110" s="7" t="str">
        <f>IF($E$128=8,$C$126,IF($E$128=6,$C$125,IF($E$128=4,$C$124,"-")))</f>
        <v>A</v>
      </c>
      <c r="M110" s="27">
        <f t="shared" si="78"/>
        <v>3</v>
      </c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2"/>
        <v>#VALUE!</v>
      </c>
      <c r="S110" s="7" t="str">
        <f>IF($E$128=7,$C$126,IF($E$128=5,$C$125,IF($E$128=3,$C$124,"-")))</f>
        <v>-</v>
      </c>
      <c r="T110" s="27" t="str">
        <f t="shared" si="79"/>
        <v>-</v>
      </c>
    </row>
    <row r="111" spans="1:20" x14ac:dyDescent="0.35">
      <c r="A111" s="6">
        <f t="shared" si="73"/>
        <v>4</v>
      </c>
      <c r="B111" s="6">
        <f t="shared" si="73"/>
        <v>651201160</v>
      </c>
      <c r="C111" s="78" t="str">
        <f t="shared" si="73"/>
        <v>นางสาวภรรัช ป้องขันธ์</v>
      </c>
      <c r="D111" s="3">
        <f t="shared" si="74"/>
        <v>76.709999999999994</v>
      </c>
      <c r="E111" s="3">
        <f t="shared" si="74"/>
        <v>479.44</v>
      </c>
      <c r="F111" s="7" t="str">
        <f t="shared" si="75"/>
        <v>B+</v>
      </c>
      <c r="G111" s="7" t="str">
        <f t="shared" si="76"/>
        <v>-</v>
      </c>
      <c r="I111" s="88">
        <f>IF(OR($E$128=2,$E$128=4,$E$128=6,$E$128=8),$E$124,"-")</f>
        <v>405.43</v>
      </c>
      <c r="J111" s="61">
        <f>IF(OR($E$128=2,$E$128=4,$E$128=6,$E$128=8),$E$124+E129,"-")</f>
        <v>550.65</v>
      </c>
      <c r="K111" s="91">
        <f t="shared" si="77"/>
        <v>145.21999999999997</v>
      </c>
      <c r="L111" s="7" t="str">
        <f>IF($E$128=8,$C$127,IF($E$128=6,$C$126,IF($E$128=4,$C$125,IF($E$128=2,$C$124,"-"))))</f>
        <v>B+</v>
      </c>
      <c r="M111" s="27">
        <f t="shared" si="78"/>
        <v>3</v>
      </c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9"/>
        <v>-</v>
      </c>
    </row>
    <row r="112" spans="1:20" x14ac:dyDescent="0.35">
      <c r="A112" s="6">
        <f t="shared" si="73"/>
        <v>5</v>
      </c>
      <c r="B112" s="6">
        <f t="shared" si="73"/>
        <v>651201161</v>
      </c>
      <c r="C112" s="78" t="str">
        <f t="shared" si="73"/>
        <v>นางสาวภูริชญา สีกา</v>
      </c>
      <c r="D112" s="3">
        <f t="shared" si="74"/>
        <v>81.08</v>
      </c>
      <c r="E112" s="3">
        <f t="shared" si="74"/>
        <v>535.51</v>
      </c>
      <c r="F112" s="7" t="str">
        <f t="shared" si="75"/>
        <v>B+</v>
      </c>
      <c r="G112" s="7" t="str">
        <f t="shared" si="76"/>
        <v>-</v>
      </c>
      <c r="I112" s="47">
        <f>IF(OR($E$128=2,$E$128=4,$E$128=6,$E$128=8),$J$112-$E$129,"-")</f>
        <v>260.20000000000005</v>
      </c>
      <c r="J112" s="61">
        <f>IF(OR($E$128=2,$E$128=4,$E$128=6,$E$128=8),$E$124-0.01,"-")</f>
        <v>405.42</v>
      </c>
      <c r="K112" s="91">
        <f t="shared" si="77"/>
        <v>145.21999999999997</v>
      </c>
      <c r="L112" s="7" t="str">
        <f>IF($E$128=8,$C$128,IF($E$128=6,$C$127,IF($E$128=4,$C$126,IF($E$128=2,$C$125,"-"))))</f>
        <v>B</v>
      </c>
      <c r="M112" s="27">
        <f t="shared" si="78"/>
        <v>1</v>
      </c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80">Q112-O112</f>
        <v>#VALUE!</v>
      </c>
      <c r="S112" s="7" t="str">
        <f>IF($E$128=7,$C$128,IF($E$128=5,$C$127,IF($E$128=3,$C$126,"-")))</f>
        <v>-</v>
      </c>
      <c r="T112" s="27" t="str">
        <f t="shared" si="79"/>
        <v>-</v>
      </c>
    </row>
    <row r="113" spans="1:20" x14ac:dyDescent="0.35">
      <c r="A113" s="6">
        <f t="shared" si="73"/>
        <v>6</v>
      </c>
      <c r="B113" s="6">
        <f t="shared" si="73"/>
        <v>651201162</v>
      </c>
      <c r="C113" s="78" t="str">
        <f t="shared" si="73"/>
        <v>นางสาวมนัญชยา กรมเกลียว</v>
      </c>
      <c r="D113" s="3">
        <f t="shared" si="74"/>
        <v>70.05</v>
      </c>
      <c r="E113" s="3">
        <f t="shared" si="74"/>
        <v>397.23</v>
      </c>
      <c r="F113" s="7" t="str">
        <f t="shared" si="75"/>
        <v>B</v>
      </c>
      <c r="G113" s="7" t="str">
        <f t="shared" si="76"/>
        <v>-</v>
      </c>
      <c r="I113" s="47">
        <f>IF(OR($E$128=4,$E$128=6,$E$128=8),$J$113-$E$129,"-")</f>
        <v>114.97000000000006</v>
      </c>
      <c r="J113" s="47">
        <f>IF(OR($E$128=8,$E$128=6,$E$128=4),$I$112-0.01,"-")</f>
        <v>260.19000000000005</v>
      </c>
      <c r="K113" s="91">
        <f t="shared" si="77"/>
        <v>145.22</v>
      </c>
      <c r="L113" s="7" t="str">
        <f>IF($E$128=8,$C$129,IF($E$128=6,$C$128,IF($E$128=4,$C$127,"-")))</f>
        <v>C+</v>
      </c>
      <c r="M113" s="27">
        <f t="shared" si="78"/>
        <v>0</v>
      </c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80"/>
        <v>#VALUE!</v>
      </c>
      <c r="S113" s="7" t="str">
        <f>IF($E$128=7,$C$129,IF($E$128=5,$C$128,"-"))</f>
        <v>-</v>
      </c>
      <c r="T113" s="27" t="str">
        <f t="shared" si="79"/>
        <v>-</v>
      </c>
    </row>
    <row r="114" spans="1:20" ht="22" thickBot="1" x14ac:dyDescent="0.4">
      <c r="A114" s="6">
        <f t="shared" si="73"/>
        <v>7</v>
      </c>
      <c r="B114" s="6">
        <f t="shared" si="73"/>
        <v>651201163</v>
      </c>
      <c r="C114" s="78" t="str">
        <f t="shared" si="73"/>
        <v>นางสาวมลธิญา วิจิตรปัญญา</v>
      </c>
      <c r="D114" s="3">
        <f t="shared" si="74"/>
        <v>81.81</v>
      </c>
      <c r="E114" s="3">
        <f t="shared" si="74"/>
        <v>535.97</v>
      </c>
      <c r="F114" s="7" t="str">
        <f t="shared" si="75"/>
        <v>B+</v>
      </c>
      <c r="G114" s="7" t="str">
        <f t="shared" si="76"/>
        <v>-</v>
      </c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7"/>
        <v>#VALUE!</v>
      </c>
      <c r="L114" s="7" t="str">
        <f>IF($E$128=8,$C$130,IF($E$128=6,$C$129,"-"))</f>
        <v>-</v>
      </c>
      <c r="M114" s="27" t="str">
        <f t="shared" si="78"/>
        <v>-</v>
      </c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80"/>
        <v>#VALUE!</v>
      </c>
      <c r="S114" s="22" t="str">
        <f>IF($E$128=7,$C$130,"-")</f>
        <v>-</v>
      </c>
      <c r="T114" s="93" t="str">
        <f t="shared" si="79"/>
        <v>-</v>
      </c>
    </row>
    <row r="115" spans="1:20" ht="22" thickBot="1" x14ac:dyDescent="0.4">
      <c r="A115" s="6">
        <f t="shared" si="73"/>
        <v>8</v>
      </c>
      <c r="B115" s="6">
        <f t="shared" si="73"/>
        <v>651201164</v>
      </c>
      <c r="C115" s="78" t="str">
        <f t="shared" si="73"/>
        <v>นางสาวยุวดี ว่องไว</v>
      </c>
      <c r="D115" s="3">
        <f t="shared" si="74"/>
        <v>85.11</v>
      </c>
      <c r="E115" s="3">
        <f t="shared" si="74"/>
        <v>580.88</v>
      </c>
      <c r="F115" s="7" t="str">
        <f t="shared" si="75"/>
        <v>A</v>
      </c>
      <c r="G115" s="7" t="str">
        <f t="shared" si="76"/>
        <v>-</v>
      </c>
      <c r="I115" s="89" t="str">
        <f>IF(OR($E$128=8),$J$115-$E$129,"-")</f>
        <v>-</v>
      </c>
      <c r="J115" s="89" t="str">
        <f>IF($E$128=8,$I$114-0.01,"-")</f>
        <v>-</v>
      </c>
      <c r="K115" s="92" t="e">
        <f t="shared" si="77"/>
        <v>#VALUE!</v>
      </c>
      <c r="L115" s="7" t="str">
        <f>IF($E$128=8,$C$131,"-")</f>
        <v>-</v>
      </c>
      <c r="M115" s="93" t="str">
        <f t="shared" si="78"/>
        <v>-</v>
      </c>
      <c r="O115" s="259" t="s">
        <v>1</v>
      </c>
      <c r="P115" s="259"/>
      <c r="Q115" s="259"/>
      <c r="R115" s="259"/>
      <c r="S115" s="259"/>
      <c r="T115" s="94">
        <f>SUM(T108:T114)</f>
        <v>0</v>
      </c>
    </row>
    <row r="116" spans="1:20" ht="22" thickBot="1" x14ac:dyDescent="0.4">
      <c r="A116" s="6">
        <f t="shared" si="73"/>
        <v>9</v>
      </c>
      <c r="B116" s="6">
        <f t="shared" si="73"/>
        <v>0</v>
      </c>
      <c r="C116" s="78">
        <f t="shared" si="73"/>
        <v>0</v>
      </c>
      <c r="D116" s="3">
        <f t="shared" si="74"/>
        <v>0</v>
      </c>
      <c r="E116" s="3">
        <f t="shared" si="74"/>
        <v>0</v>
      </c>
      <c r="F116" s="7" t="str">
        <f t="shared" si="75"/>
        <v>I/E</v>
      </c>
      <c r="G116" s="7" t="str">
        <f t="shared" si="76"/>
        <v>-</v>
      </c>
      <c r="I116" s="218" t="s">
        <v>1</v>
      </c>
      <c r="J116" s="219"/>
      <c r="K116" s="219"/>
      <c r="L116" s="220"/>
      <c r="M116" s="94">
        <f>SUM(M108:M115)</f>
        <v>7</v>
      </c>
    </row>
    <row r="117" spans="1:20" x14ac:dyDescent="0.35">
      <c r="A117" s="6">
        <f t="shared" si="73"/>
        <v>10</v>
      </c>
      <c r="B117" s="6">
        <f t="shared" si="73"/>
        <v>0</v>
      </c>
      <c r="C117" s="78">
        <f t="shared" si="73"/>
        <v>0</v>
      </c>
      <c r="D117" s="3">
        <f t="shared" si="74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5"/>
        <v>-</v>
      </c>
      <c r="G117" s="7" t="str">
        <f t="shared" si="76"/>
        <v>-</v>
      </c>
    </row>
    <row r="118" spans="1:20" x14ac:dyDescent="0.35">
      <c r="C118" s="79"/>
      <c r="D118" s="9"/>
      <c r="E118" s="9"/>
      <c r="F118" s="42"/>
      <c r="G118" s="42"/>
    </row>
    <row r="119" spans="1:20" x14ac:dyDescent="0.35">
      <c r="C119" s="79"/>
      <c r="D119" s="9"/>
      <c r="E119" s="9"/>
      <c r="F119" s="42"/>
      <c r="G119" s="42"/>
    </row>
    <row r="120" spans="1:20" x14ac:dyDescent="0.35">
      <c r="C120" s="79"/>
      <c r="D120" s="9"/>
      <c r="E120" s="9"/>
      <c r="F120" s="42"/>
      <c r="G120" s="42"/>
    </row>
    <row r="121" spans="1:20" x14ac:dyDescent="0.35">
      <c r="C121" s="79"/>
      <c r="D121" s="9"/>
      <c r="E121" s="9"/>
      <c r="F121" s="42"/>
      <c r="G121" s="42"/>
    </row>
    <row r="122" spans="1:20" x14ac:dyDescent="0.35">
      <c r="C122" s="79"/>
      <c r="D122" s="9"/>
      <c r="E122" s="9"/>
      <c r="F122" s="42"/>
      <c r="G122" s="42"/>
    </row>
    <row r="124" spans="1:20" x14ac:dyDescent="0.35"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405.43</v>
      </c>
    </row>
    <row r="125" spans="1:20" x14ac:dyDescent="0.35">
      <c r="B125" s="6">
        <f>$B$124-0.5</f>
        <v>3.5</v>
      </c>
      <c r="C125" s="6" t="str">
        <f t="shared" ref="C125:C131" si="81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580.88</v>
      </c>
      <c r="O125" s="1" t="s">
        <v>154</v>
      </c>
    </row>
    <row r="126" spans="1:20" x14ac:dyDescent="0.35">
      <c r="B126" s="6">
        <f>$B$124-1</f>
        <v>3</v>
      </c>
      <c r="C126" s="6" t="str">
        <f t="shared" si="81"/>
        <v>B</v>
      </c>
      <c r="D126" s="37" t="s">
        <v>19</v>
      </c>
      <c r="E126" s="37">
        <f>ROUND(MIN($E$108:$E$117),2)</f>
        <v>0</v>
      </c>
      <c r="O126" s="1">
        <v>1</v>
      </c>
      <c r="P126" s="1" t="s">
        <v>137</v>
      </c>
    </row>
    <row r="127" spans="1:20" x14ac:dyDescent="0.35">
      <c r="B127" s="6">
        <f>$B$124-1.5</f>
        <v>2.5</v>
      </c>
      <c r="C127" s="6" t="str">
        <f t="shared" si="81"/>
        <v>C+</v>
      </c>
      <c r="D127" s="4" t="s">
        <v>150</v>
      </c>
      <c r="E127" s="37">
        <f>ROUND($E$125-$E$126,2)</f>
        <v>580.88</v>
      </c>
      <c r="O127" s="1">
        <v>2</v>
      </c>
      <c r="P127" s="1" t="s">
        <v>155</v>
      </c>
    </row>
    <row r="128" spans="1:20" x14ac:dyDescent="0.35">
      <c r="B128" s="6">
        <f>$B$124-2</f>
        <v>2</v>
      </c>
      <c r="C128" s="6" t="str">
        <f t="shared" si="81"/>
        <v>C</v>
      </c>
      <c r="D128" s="4" t="s">
        <v>4</v>
      </c>
      <c r="E128" s="32">
        <v>4</v>
      </c>
      <c r="F128" s="1" t="s">
        <v>40</v>
      </c>
      <c r="O128" s="1">
        <v>3</v>
      </c>
      <c r="P128" s="1" t="s">
        <v>156</v>
      </c>
    </row>
    <row r="129" spans="1:19" x14ac:dyDescent="0.35">
      <c r="B129" s="6">
        <f>$B$124-2.5</f>
        <v>1.5</v>
      </c>
      <c r="C129" s="6" t="str">
        <f t="shared" si="81"/>
        <v>D+</v>
      </c>
      <c r="D129" s="4" t="s">
        <v>9</v>
      </c>
      <c r="E129" s="37">
        <f>ROUND($E$127/$E$128,2)</f>
        <v>145.22</v>
      </c>
      <c r="O129" s="202"/>
      <c r="P129" s="202"/>
      <c r="Q129" s="202"/>
      <c r="R129" s="202"/>
      <c r="S129" s="202"/>
    </row>
    <row r="130" spans="1:19" x14ac:dyDescent="0.35">
      <c r="B130" s="6">
        <f>$B$124-3</f>
        <v>1</v>
      </c>
      <c r="C130" s="6" t="str">
        <f t="shared" si="81"/>
        <v>D</v>
      </c>
      <c r="D130" s="4" t="s">
        <v>151</v>
      </c>
      <c r="E130" s="32" t="s">
        <v>8</v>
      </c>
      <c r="F130" s="1" t="s">
        <v>41</v>
      </c>
      <c r="O130" s="202"/>
      <c r="P130" s="202"/>
      <c r="Q130" s="202"/>
      <c r="R130" s="202"/>
      <c r="S130" s="202"/>
    </row>
    <row r="131" spans="1:19" x14ac:dyDescent="0.35">
      <c r="B131" s="6">
        <f>$B$124-3.5</f>
        <v>0.5</v>
      </c>
      <c r="C131" s="6" t="str">
        <f t="shared" si="81"/>
        <v>E</v>
      </c>
      <c r="O131" s="221"/>
      <c r="P131" s="221"/>
      <c r="Q131" s="221"/>
      <c r="R131" s="221"/>
      <c r="S131" s="221"/>
    </row>
    <row r="132" spans="1:19" x14ac:dyDescent="0.35">
      <c r="B132" s="6">
        <f>$B$124-4</f>
        <v>0</v>
      </c>
      <c r="C132" s="6" t="str">
        <f>IF(B132=4,"A",IF(B132=3.5,"B+",IF(B132=3,"B",IF(B132=2.5,"C+",IF(B132=2,"C",IF(B132=1.5,"D+",IF(B132=1,"D","E")))))))</f>
        <v>E</v>
      </c>
    </row>
    <row r="136" spans="1:19" x14ac:dyDescent="0.35">
      <c r="C136" s="256" t="s">
        <v>188</v>
      </c>
      <c r="D136" s="256"/>
      <c r="E136" s="256"/>
      <c r="G136" s="1">
        <v>1</v>
      </c>
    </row>
    <row r="137" spans="1:19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</row>
    <row r="138" spans="1:19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</row>
    <row r="139" spans="1:19" x14ac:dyDescent="0.35">
      <c r="A139" s="6">
        <f>A8</f>
        <v>1</v>
      </c>
      <c r="B139" s="6">
        <f t="shared" ref="B139:C139" si="82">B8</f>
        <v>651201157</v>
      </c>
      <c r="C139" s="78" t="str">
        <f t="shared" si="82"/>
        <v>นายพีรพัฒน์ เทศสนั่น</v>
      </c>
      <c r="D139" s="3">
        <f>D93</f>
        <v>83.39</v>
      </c>
      <c r="E139" s="3">
        <f>E93</f>
        <v>565.6</v>
      </c>
      <c r="F139" s="204" t="str">
        <f>IF($G$136=1,F93,IF($G$136=2,F108,G108))</f>
        <v>B+</v>
      </c>
      <c r="G139" s="204"/>
    </row>
    <row r="140" spans="1:19" x14ac:dyDescent="0.35">
      <c r="A140" s="6">
        <f t="shared" ref="A140:C148" si="83">A9</f>
        <v>2</v>
      </c>
      <c r="B140" s="6">
        <f t="shared" si="83"/>
        <v>651201158</v>
      </c>
      <c r="C140" s="78" t="str">
        <f t="shared" si="83"/>
        <v>นางสาวแพรชมพู โกกะพันธ์</v>
      </c>
      <c r="D140" s="3">
        <f t="shared" ref="D140:E148" si="84">D94</f>
        <v>0</v>
      </c>
      <c r="E140" s="3">
        <f t="shared" si="84"/>
        <v>0</v>
      </c>
      <c r="F140" s="204" t="str">
        <f t="shared" ref="F140:F148" si="85">IF($G$136=1,F94,IF($G$136=2,F109,G109))</f>
        <v>-</v>
      </c>
      <c r="G140" s="204"/>
    </row>
    <row r="141" spans="1:19" x14ac:dyDescent="0.35">
      <c r="A141" s="6">
        <f t="shared" si="83"/>
        <v>3</v>
      </c>
      <c r="B141" s="6">
        <f t="shared" si="83"/>
        <v>651201159</v>
      </c>
      <c r="C141" s="78" t="str">
        <f t="shared" si="83"/>
        <v>นางสาวแพรวดาว ยังโนนตาด</v>
      </c>
      <c r="D141" s="3">
        <f t="shared" si="84"/>
        <v>83.06</v>
      </c>
      <c r="E141" s="3">
        <f t="shared" si="84"/>
        <v>554.25</v>
      </c>
      <c r="F141" s="204" t="str">
        <f t="shared" si="85"/>
        <v>B+</v>
      </c>
      <c r="G141" s="204"/>
    </row>
    <row r="142" spans="1:19" x14ac:dyDescent="0.35">
      <c r="A142" s="6">
        <f t="shared" si="83"/>
        <v>4</v>
      </c>
      <c r="B142" s="6">
        <f t="shared" si="83"/>
        <v>651201160</v>
      </c>
      <c r="C142" s="78" t="str">
        <f t="shared" si="83"/>
        <v>นางสาวภรรัช ป้องขันธ์</v>
      </c>
      <c r="D142" s="3">
        <f t="shared" si="84"/>
        <v>76.709999999999994</v>
      </c>
      <c r="E142" s="3">
        <f t="shared" si="84"/>
        <v>479.44</v>
      </c>
      <c r="F142" s="204" t="str">
        <f t="shared" si="85"/>
        <v>B</v>
      </c>
      <c r="G142" s="204"/>
    </row>
    <row r="143" spans="1:19" x14ac:dyDescent="0.35">
      <c r="A143" s="6">
        <f t="shared" si="83"/>
        <v>5</v>
      </c>
      <c r="B143" s="6">
        <f t="shared" si="83"/>
        <v>651201161</v>
      </c>
      <c r="C143" s="78" t="str">
        <f t="shared" si="83"/>
        <v>นางสาวภูริชญา สีกา</v>
      </c>
      <c r="D143" s="3">
        <f t="shared" si="84"/>
        <v>81.08</v>
      </c>
      <c r="E143" s="3">
        <f t="shared" si="84"/>
        <v>535.51</v>
      </c>
      <c r="F143" s="204" t="str">
        <f t="shared" si="85"/>
        <v>B+</v>
      </c>
      <c r="G143" s="204"/>
    </row>
    <row r="144" spans="1:19" x14ac:dyDescent="0.35">
      <c r="A144" s="6">
        <f t="shared" si="83"/>
        <v>6</v>
      </c>
      <c r="B144" s="6">
        <f t="shared" si="83"/>
        <v>651201162</v>
      </c>
      <c r="C144" s="78" t="str">
        <f t="shared" si="83"/>
        <v>นางสาวมนัญชยา กรมเกลียว</v>
      </c>
      <c r="D144" s="3">
        <f t="shared" si="84"/>
        <v>70.05</v>
      </c>
      <c r="E144" s="3">
        <f t="shared" si="84"/>
        <v>397.23</v>
      </c>
      <c r="F144" s="204" t="str">
        <f t="shared" si="85"/>
        <v>C+</v>
      </c>
      <c r="G144" s="204"/>
    </row>
    <row r="145" spans="1:7" x14ac:dyDescent="0.35">
      <c r="A145" s="6">
        <f t="shared" si="83"/>
        <v>7</v>
      </c>
      <c r="B145" s="6">
        <f t="shared" si="83"/>
        <v>651201163</v>
      </c>
      <c r="C145" s="78" t="str">
        <f t="shared" si="83"/>
        <v>นางสาวมลธิญา วิจิตรปัญญา</v>
      </c>
      <c r="D145" s="3">
        <f t="shared" si="84"/>
        <v>81.81</v>
      </c>
      <c r="E145" s="3">
        <f t="shared" si="84"/>
        <v>535.97</v>
      </c>
      <c r="F145" s="204" t="str">
        <f t="shared" si="85"/>
        <v>B+</v>
      </c>
      <c r="G145" s="204"/>
    </row>
    <row r="146" spans="1:7" x14ac:dyDescent="0.35">
      <c r="A146" s="6">
        <f t="shared" si="83"/>
        <v>8</v>
      </c>
      <c r="B146" s="6">
        <f t="shared" si="83"/>
        <v>651201164</v>
      </c>
      <c r="C146" s="78" t="str">
        <f t="shared" si="83"/>
        <v>นางสาวยุวดี ว่องไว</v>
      </c>
      <c r="D146" s="3">
        <f t="shared" si="84"/>
        <v>85.11</v>
      </c>
      <c r="E146" s="3">
        <f t="shared" si="84"/>
        <v>580.88</v>
      </c>
      <c r="F146" s="204" t="str">
        <f t="shared" si="85"/>
        <v>A</v>
      </c>
      <c r="G146" s="204"/>
    </row>
    <row r="147" spans="1:7" x14ac:dyDescent="0.35">
      <c r="A147" s="6">
        <f t="shared" si="83"/>
        <v>9</v>
      </c>
      <c r="B147" s="6">
        <f t="shared" si="83"/>
        <v>0</v>
      </c>
      <c r="C147" s="78">
        <f t="shared" si="83"/>
        <v>0</v>
      </c>
      <c r="D147" s="3">
        <f t="shared" si="84"/>
        <v>0</v>
      </c>
      <c r="E147" s="3">
        <f t="shared" si="84"/>
        <v>0</v>
      </c>
      <c r="F147" s="204" t="str">
        <f t="shared" si="85"/>
        <v>-</v>
      </c>
      <c r="G147" s="204"/>
    </row>
    <row r="148" spans="1:7" x14ac:dyDescent="0.35">
      <c r="A148" s="6">
        <f t="shared" si="83"/>
        <v>10</v>
      </c>
      <c r="B148" s="6">
        <f t="shared" si="83"/>
        <v>0</v>
      </c>
      <c r="C148" s="78">
        <f t="shared" si="83"/>
        <v>0</v>
      </c>
      <c r="D148" s="3">
        <f t="shared" si="84"/>
        <v>0</v>
      </c>
      <c r="E148" s="3" t="str">
        <f t="shared" si="84"/>
        <v>-</v>
      </c>
      <c r="F148" s="204" t="str">
        <f t="shared" si="85"/>
        <v>-</v>
      </c>
      <c r="G148" s="204"/>
    </row>
  </sheetData>
  <sheetProtection selectLockedCells="1"/>
  <protectedRanges>
    <protectedRange sqref="A8:D17" name="ช่วง1"/>
  </protectedRanges>
  <mergeCells count="100"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139:G139"/>
    <mergeCell ref="O115:S115"/>
    <mergeCell ref="I116:L116"/>
    <mergeCell ref="O129:S129"/>
    <mergeCell ref="O130:S130"/>
    <mergeCell ref="O131:S131"/>
    <mergeCell ref="A137:A138"/>
    <mergeCell ref="B137:B138"/>
    <mergeCell ref="C137:C138"/>
    <mergeCell ref="D137:G137"/>
    <mergeCell ref="F138:G138"/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</mergeCells>
  <pageMargins left="0.70866141732283472" right="0.70866141732283472" top="0.31496062992125984" bottom="0.19685039370078741" header="0.31496062992125984" footer="0.19685039370078741"/>
  <pageSetup paperSize="9" scale="66" orientation="landscape" verticalDpi="300" r:id="rId1"/>
  <rowBreaks count="3" manualBreakCount="3">
    <brk id="36" max="16383" man="1"/>
    <brk id="70" max="20" man="1"/>
    <brk id="8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7</xdr:col>
                    <xdr:colOff>25400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C45-7BE6-B747-A540-273F258A1ED6}">
  <sheetPr>
    <tabColor theme="9" tint="0.59999389629810485"/>
  </sheetPr>
  <dimension ref="A1:U148"/>
  <sheetViews>
    <sheetView workbookViewId="0">
      <selection sqref="A1:U3"/>
    </sheetView>
  </sheetViews>
  <sheetFormatPr baseColWidth="10" defaultColWidth="9" defaultRowHeight="21" x14ac:dyDescent="0.35"/>
  <cols>
    <col min="1" max="1" width="4.83203125" style="132" bestFit="1" customWidth="1"/>
    <col min="2" max="2" width="10.6640625" style="132" customWidth="1"/>
    <col min="3" max="3" width="25.1640625" style="132" customWidth="1"/>
    <col min="4" max="4" width="9" style="131"/>
    <col min="5" max="5" width="6.5" style="131" customWidth="1"/>
    <col min="6" max="6" width="8.83203125" style="131" customWidth="1"/>
    <col min="7" max="7" width="7.6640625" style="131" customWidth="1"/>
    <col min="8" max="8" width="9" style="131"/>
    <col min="9" max="9" width="10.33203125" style="131" customWidth="1"/>
    <col min="10" max="11" width="6.83203125" style="131" customWidth="1"/>
    <col min="12" max="12" width="9.33203125" style="131" bestFit="1" customWidth="1"/>
    <col min="13" max="13" width="7.1640625" style="131" customWidth="1"/>
    <col min="14" max="14" width="6.83203125" style="131" customWidth="1"/>
    <col min="15" max="15" width="8.1640625" style="131" customWidth="1"/>
    <col min="16" max="16" width="7.1640625" style="131" customWidth="1"/>
    <col min="17" max="18" width="7.6640625" style="131" customWidth="1"/>
    <col min="19" max="19" width="6.6640625" style="131" customWidth="1"/>
    <col min="20" max="16384" width="9" style="13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</row>
    <row r="5" spans="1:21" x14ac:dyDescent="0.35">
      <c r="A5" s="222" t="s">
        <v>76</v>
      </c>
      <c r="B5" s="222" t="s">
        <v>12</v>
      </c>
      <c r="C5" s="222" t="s">
        <v>0</v>
      </c>
      <c r="D5" s="236" t="s">
        <v>196</v>
      </c>
      <c r="E5" s="236"/>
      <c r="F5" s="236"/>
      <c r="G5" s="236" t="s">
        <v>195</v>
      </c>
      <c r="H5" s="236"/>
      <c r="I5" s="236"/>
      <c r="J5" s="236" t="s">
        <v>197</v>
      </c>
      <c r="K5" s="236"/>
      <c r="L5" s="236"/>
      <c r="M5" s="236" t="s">
        <v>198</v>
      </c>
      <c r="N5" s="236"/>
      <c r="O5" s="236"/>
      <c r="P5" s="236" t="s">
        <v>213</v>
      </c>
      <c r="Q5" s="236"/>
      <c r="R5" s="236"/>
      <c r="S5" s="236" t="s">
        <v>214</v>
      </c>
      <c r="T5" s="236"/>
      <c r="U5" s="236"/>
    </row>
    <row r="6" spans="1:21" x14ac:dyDescent="0.35">
      <c r="A6" s="222"/>
      <c r="B6" s="222"/>
      <c r="C6" s="222"/>
      <c r="D6" s="139" t="s">
        <v>17</v>
      </c>
      <c r="E6" s="139" t="s">
        <v>6</v>
      </c>
      <c r="F6" s="139" t="s">
        <v>3</v>
      </c>
      <c r="G6" s="139" t="s">
        <v>17</v>
      </c>
      <c r="H6" s="139" t="s">
        <v>6</v>
      </c>
      <c r="I6" s="139" t="s">
        <v>3</v>
      </c>
      <c r="J6" s="139" t="s">
        <v>17</v>
      </c>
      <c r="K6" s="139" t="s">
        <v>6</v>
      </c>
      <c r="L6" s="139" t="s">
        <v>3</v>
      </c>
      <c r="M6" s="139" t="s">
        <v>17</v>
      </c>
      <c r="N6" s="139" t="s">
        <v>6</v>
      </c>
      <c r="O6" s="139" t="s">
        <v>3</v>
      </c>
      <c r="P6" s="139" t="s">
        <v>17</v>
      </c>
      <c r="Q6" s="139" t="s">
        <v>6</v>
      </c>
      <c r="R6" s="139" t="s">
        <v>3</v>
      </c>
      <c r="S6" s="139" t="s">
        <v>17</v>
      </c>
      <c r="T6" s="139" t="s">
        <v>6</v>
      </c>
      <c r="U6" s="139" t="s">
        <v>3</v>
      </c>
    </row>
    <row r="7" spans="1:21" x14ac:dyDescent="0.35">
      <c r="A7" s="222"/>
      <c r="B7" s="222"/>
      <c r="C7" s="222"/>
      <c r="D7" s="193">
        <v>175</v>
      </c>
      <c r="E7" s="193">
        <v>60</v>
      </c>
      <c r="F7" s="181">
        <f>$E$7/10</f>
        <v>6</v>
      </c>
      <c r="G7" s="193">
        <v>75</v>
      </c>
      <c r="H7" s="193">
        <v>10</v>
      </c>
      <c r="I7" s="181">
        <f>$H$7/10</f>
        <v>1</v>
      </c>
      <c r="J7" s="193">
        <v>50</v>
      </c>
      <c r="K7" s="193">
        <v>10</v>
      </c>
      <c r="L7" s="194">
        <f>$K$7/10</f>
        <v>1</v>
      </c>
      <c r="M7" s="193">
        <v>30</v>
      </c>
      <c r="N7" s="193">
        <v>5</v>
      </c>
      <c r="O7" s="181">
        <f>$N$7/10</f>
        <v>0.5</v>
      </c>
      <c r="P7" s="193">
        <v>90</v>
      </c>
      <c r="Q7" s="193">
        <v>10</v>
      </c>
      <c r="R7" s="181">
        <f>$Q$7/10</f>
        <v>1</v>
      </c>
      <c r="S7" s="193">
        <v>20</v>
      </c>
      <c r="T7" s="193">
        <v>5</v>
      </c>
      <c r="U7" s="181">
        <f>$Q$7/10</f>
        <v>1</v>
      </c>
    </row>
    <row r="8" spans="1:21" ht="27" x14ac:dyDescent="0.45">
      <c r="A8" s="192">
        <v>1</v>
      </c>
      <c r="B8" s="297">
        <v>651201165</v>
      </c>
      <c r="C8" s="297" t="s">
        <v>281</v>
      </c>
      <c r="D8" s="298">
        <v>140</v>
      </c>
      <c r="E8" s="157">
        <f t="shared" ref="E8:E17" si="0">IF(D8="-","-",IF(D8=0,0,(D8*$E$7)/$D$7))</f>
        <v>48</v>
      </c>
      <c r="F8" s="134">
        <f t="shared" ref="F8:F17" si="1">IF(D8="-","-",IF(D8=0,0,IF($D$19=0,50,(50+(10*(STANDARDIZE(D8,$D$18,$D$19)))))*$F$7))</f>
        <v>302.81439017892114</v>
      </c>
      <c r="G8" s="298">
        <v>55</v>
      </c>
      <c r="H8" s="157">
        <f t="shared" ref="H8:H17" si="2">IF(G8="-","-",IF(G8=0,0,(G8*$H$7)/$G$7))</f>
        <v>7.333333333333333</v>
      </c>
      <c r="I8" s="134">
        <f t="shared" ref="I8:I17" si="3">IF(G8="-","-",IF(G8=0,0,IF($G$19=0,50,(50+(10*(STANDARDIZE(G8,$G$18,$G$19)))))*$I$7))</f>
        <v>47.713352198099876</v>
      </c>
      <c r="J8" s="298">
        <v>40</v>
      </c>
      <c r="K8" s="157">
        <f t="shared" ref="K8:K17" si="4">IF(J8="-","-",IF(J8=0,0,(J8*$K$7)/$J$7))</f>
        <v>8</v>
      </c>
      <c r="L8" s="134">
        <f t="shared" ref="L8:L17" si="5">IF(J8="-","-",IF(J8=0,0,IF(J19=0,50,(50+(10*(STANDARDIZE(J8,$J$18,$J$19)))))*$L$7))</f>
        <v>46.666666666666657</v>
      </c>
      <c r="M8" s="298">
        <v>19</v>
      </c>
      <c r="N8" s="157">
        <f t="shared" ref="N8:N17" si="6">IF(M8="-","-",IF(M8=0,0,(M8*$N$7)/$M$7))</f>
        <v>3.1666666666666665</v>
      </c>
      <c r="O8" s="134">
        <f t="shared" ref="O8:O17" si="7">IF(M8="-","-",IF(M8=0,0,IF($M$19=0,50,(50+(10*(STANDARDIZE(M8,$M$18,$M$19)))))*$O$7))</f>
        <v>22.738162854186744</v>
      </c>
      <c r="P8" s="298">
        <v>80</v>
      </c>
      <c r="Q8" s="157">
        <f t="shared" ref="Q8:Q17" si="8">IF(P8="-","-",IF(P8=0,0,(P8*$Q$7)/$P$7))</f>
        <v>8.8888888888888893</v>
      </c>
      <c r="R8" s="134">
        <f t="shared" ref="R8:R17" si="9">IF(P8="-","-",IF(P8=0,0,IF($P$19=0,50,(50+(10*(STANDARDIZE(P8,$P$18,$P$19)))))*$R$7))</f>
        <v>50</v>
      </c>
      <c r="S8">
        <v>12</v>
      </c>
      <c r="T8" s="157">
        <f t="shared" ref="T8:T17" si="10">IF(S8="-","-",IF(S8=0,0,(S8*$T$7)/$S$7))</f>
        <v>3</v>
      </c>
      <c r="U8" s="134">
        <f t="shared" ref="U8:U17" si="11">IF(S8="-","-",IF(S8=0,0,IF($S$19=0,50,(50+(10*(STANDARDIZE(S8,$S$18,$S$19)))))*$U$7))</f>
        <v>49.706800335244303</v>
      </c>
    </row>
    <row r="9" spans="1:21" ht="27" x14ac:dyDescent="0.45">
      <c r="A9" s="192">
        <v>2</v>
      </c>
      <c r="B9" s="297">
        <v>651201166</v>
      </c>
      <c r="C9" s="297" t="s">
        <v>282</v>
      </c>
      <c r="D9" s="298">
        <v>140</v>
      </c>
      <c r="E9" s="157">
        <f t="shared" si="0"/>
        <v>48</v>
      </c>
      <c r="F9" s="134">
        <f t="shared" si="1"/>
        <v>302.81439017892114</v>
      </c>
      <c r="G9" s="298">
        <v>50</v>
      </c>
      <c r="H9" s="157">
        <f t="shared" si="2"/>
        <v>6.666666666666667</v>
      </c>
      <c r="I9" s="134">
        <f t="shared" si="3"/>
        <v>37.423437089549346</v>
      </c>
      <c r="J9" s="298">
        <v>40</v>
      </c>
      <c r="K9" s="157">
        <f t="shared" si="4"/>
        <v>8</v>
      </c>
      <c r="L9" s="134">
        <f t="shared" si="5"/>
        <v>50</v>
      </c>
      <c r="M9" s="298">
        <v>19</v>
      </c>
      <c r="N9" s="157">
        <f t="shared" si="6"/>
        <v>3.1666666666666665</v>
      </c>
      <c r="O9" s="134">
        <f t="shared" si="7"/>
        <v>22.738162854186744</v>
      </c>
      <c r="P9" s="298">
        <v>80</v>
      </c>
      <c r="Q9" s="157">
        <f t="shared" si="8"/>
        <v>8.8888888888888893</v>
      </c>
      <c r="R9" s="134">
        <f t="shared" si="9"/>
        <v>50</v>
      </c>
      <c r="S9">
        <v>7</v>
      </c>
      <c r="T9" s="157">
        <f t="shared" si="10"/>
        <v>1.75</v>
      </c>
      <c r="U9" s="134">
        <f t="shared" si="11"/>
        <v>36.512815421238031</v>
      </c>
    </row>
    <row r="10" spans="1:21" ht="27" x14ac:dyDescent="0.45">
      <c r="A10" s="192">
        <v>3</v>
      </c>
      <c r="B10" s="297">
        <v>651201167</v>
      </c>
      <c r="C10" s="297" t="s">
        <v>283</v>
      </c>
      <c r="D10" s="298">
        <v>150</v>
      </c>
      <c r="E10" s="157">
        <f t="shared" si="0"/>
        <v>51.428571428571431</v>
      </c>
      <c r="F10" s="134">
        <f t="shared" si="1"/>
        <v>353.47341339950214</v>
      </c>
      <c r="G10" s="298">
        <v>55</v>
      </c>
      <c r="H10" s="157">
        <f t="shared" si="2"/>
        <v>7.333333333333333</v>
      </c>
      <c r="I10" s="134">
        <f t="shared" si="3"/>
        <v>47.713352198099876</v>
      </c>
      <c r="J10" s="298">
        <v>40</v>
      </c>
      <c r="K10" s="157">
        <f t="shared" si="4"/>
        <v>8</v>
      </c>
      <c r="L10" s="134">
        <f t="shared" si="5"/>
        <v>46.666666666666657</v>
      </c>
      <c r="M10" s="298">
        <v>19</v>
      </c>
      <c r="N10" s="157">
        <f t="shared" si="6"/>
        <v>3.1666666666666665</v>
      </c>
      <c r="O10" s="134">
        <f t="shared" si="7"/>
        <v>22.738162854186744</v>
      </c>
      <c r="P10" s="298">
        <v>80</v>
      </c>
      <c r="Q10" s="157">
        <f t="shared" si="8"/>
        <v>8.8888888888888893</v>
      </c>
      <c r="R10" s="134">
        <f t="shared" si="9"/>
        <v>50</v>
      </c>
      <c r="S10">
        <v>7</v>
      </c>
      <c r="T10" s="157">
        <f t="shared" si="10"/>
        <v>1.75</v>
      </c>
      <c r="U10" s="134">
        <f t="shared" si="11"/>
        <v>36.512815421238031</v>
      </c>
    </row>
    <row r="11" spans="1:21" ht="27" x14ac:dyDescent="0.45">
      <c r="A11" s="192">
        <v>4</v>
      </c>
      <c r="B11" s="297">
        <v>651201169</v>
      </c>
      <c r="C11" s="297" t="s">
        <v>284</v>
      </c>
      <c r="D11" s="298">
        <v>125</v>
      </c>
      <c r="E11" s="157">
        <f t="shared" si="0"/>
        <v>42.857142857142854</v>
      </c>
      <c r="F11" s="134">
        <f t="shared" si="1"/>
        <v>226.82585534804957</v>
      </c>
      <c r="G11" s="298">
        <v>60</v>
      </c>
      <c r="H11" s="157">
        <f t="shared" si="2"/>
        <v>8</v>
      </c>
      <c r="I11" s="134">
        <f t="shared" si="3"/>
        <v>58.0032673066504</v>
      </c>
      <c r="J11" s="298">
        <v>40</v>
      </c>
      <c r="K11" s="157">
        <f t="shared" si="4"/>
        <v>8</v>
      </c>
      <c r="L11" s="134">
        <f t="shared" si="5"/>
        <v>46.666666666666657</v>
      </c>
      <c r="M11" s="298">
        <v>20</v>
      </c>
      <c r="N11" s="157">
        <f t="shared" si="6"/>
        <v>3.3333333333333335</v>
      </c>
      <c r="O11" s="134">
        <f t="shared" si="7"/>
        <v>25.282729643226656</v>
      </c>
      <c r="P11" s="298">
        <v>80</v>
      </c>
      <c r="Q11" s="157">
        <f t="shared" si="8"/>
        <v>8.8888888888888893</v>
      </c>
      <c r="R11" s="134">
        <f t="shared" si="9"/>
        <v>50</v>
      </c>
      <c r="S11">
        <v>10</v>
      </c>
      <c r="T11" s="157">
        <f t="shared" si="10"/>
        <v>2.5</v>
      </c>
      <c r="U11" s="134">
        <f t="shared" si="11"/>
        <v>44.429206369641797</v>
      </c>
    </row>
    <row r="12" spans="1:21" ht="27" x14ac:dyDescent="0.45">
      <c r="A12" s="192">
        <v>5</v>
      </c>
      <c r="B12" s="297">
        <v>651201170</v>
      </c>
      <c r="C12" s="297" t="s">
        <v>285</v>
      </c>
      <c r="D12" s="298">
        <v>160</v>
      </c>
      <c r="E12" s="157">
        <f t="shared" si="0"/>
        <v>54.857142857142854</v>
      </c>
      <c r="F12" s="134">
        <f t="shared" si="1"/>
        <v>404.13243662008313</v>
      </c>
      <c r="G12" s="298">
        <v>65</v>
      </c>
      <c r="H12" s="157">
        <f t="shared" si="2"/>
        <v>8.6666666666666661</v>
      </c>
      <c r="I12" s="134">
        <f t="shared" si="3"/>
        <v>68.293182415200931</v>
      </c>
      <c r="J12" s="298">
        <v>45</v>
      </c>
      <c r="K12" s="157">
        <f t="shared" si="4"/>
        <v>9</v>
      </c>
      <c r="L12" s="134">
        <f t="shared" si="5"/>
        <v>50</v>
      </c>
      <c r="M12" s="298">
        <v>25</v>
      </c>
      <c r="N12" s="157">
        <f t="shared" si="6"/>
        <v>4.166666666666667</v>
      </c>
      <c r="O12" s="134">
        <f t="shared" si="7"/>
        <v>38.00556358842622</v>
      </c>
      <c r="P12" s="298">
        <v>80</v>
      </c>
      <c r="Q12" s="157">
        <f t="shared" si="8"/>
        <v>8.8888888888888893</v>
      </c>
      <c r="R12" s="134">
        <f t="shared" si="9"/>
        <v>50</v>
      </c>
      <c r="S12">
        <v>12</v>
      </c>
      <c r="T12" s="157">
        <f t="shared" si="10"/>
        <v>3</v>
      </c>
      <c r="U12" s="134">
        <f t="shared" si="11"/>
        <v>49.706800335244303</v>
      </c>
    </row>
    <row r="13" spans="1:21" ht="27" x14ac:dyDescent="0.45">
      <c r="A13" s="192">
        <v>6</v>
      </c>
      <c r="B13" s="297">
        <v>651201171</v>
      </c>
      <c r="C13" s="297" t="s">
        <v>286</v>
      </c>
      <c r="D13" s="298">
        <v>130</v>
      </c>
      <c r="E13" s="157">
        <f t="shared" si="0"/>
        <v>44.571428571428569</v>
      </c>
      <c r="F13" s="134">
        <f t="shared" si="1"/>
        <v>252.1553669583401</v>
      </c>
      <c r="G13" s="298">
        <v>55</v>
      </c>
      <c r="H13" s="157">
        <f t="shared" si="2"/>
        <v>7.333333333333333</v>
      </c>
      <c r="I13" s="134">
        <f t="shared" si="3"/>
        <v>47.713352198099876</v>
      </c>
      <c r="J13" s="298">
        <v>40</v>
      </c>
      <c r="K13" s="157">
        <f t="shared" si="4"/>
        <v>8</v>
      </c>
      <c r="L13" s="134">
        <f t="shared" si="5"/>
        <v>50</v>
      </c>
      <c r="M13" s="298">
        <v>19</v>
      </c>
      <c r="N13" s="157">
        <f t="shared" si="6"/>
        <v>3.1666666666666665</v>
      </c>
      <c r="O13" s="134">
        <f t="shared" si="7"/>
        <v>22.738162854186744</v>
      </c>
      <c r="P13" s="298">
        <v>80</v>
      </c>
      <c r="Q13" s="157">
        <f t="shared" si="8"/>
        <v>8.8888888888888893</v>
      </c>
      <c r="R13" s="134">
        <f t="shared" si="9"/>
        <v>50</v>
      </c>
      <c r="S13">
        <v>12</v>
      </c>
      <c r="T13" s="157">
        <f t="shared" si="10"/>
        <v>3</v>
      </c>
      <c r="U13" s="134">
        <f t="shared" si="11"/>
        <v>49.706800335244303</v>
      </c>
    </row>
    <row r="14" spans="1:21" ht="27" x14ac:dyDescent="0.45">
      <c r="A14" s="192">
        <v>7</v>
      </c>
      <c r="B14" s="297">
        <v>651201172</v>
      </c>
      <c r="C14" s="297" t="s">
        <v>287</v>
      </c>
      <c r="D14" s="298">
        <v>130</v>
      </c>
      <c r="E14" s="157">
        <f t="shared" si="0"/>
        <v>44.571428571428569</v>
      </c>
      <c r="F14" s="134">
        <f t="shared" si="1"/>
        <v>252.1553669583401</v>
      </c>
      <c r="G14" s="298">
        <v>55</v>
      </c>
      <c r="H14" s="157">
        <f t="shared" si="2"/>
        <v>7.333333333333333</v>
      </c>
      <c r="I14" s="134">
        <f t="shared" si="3"/>
        <v>47.713352198099876</v>
      </c>
      <c r="J14" s="298">
        <v>40</v>
      </c>
      <c r="K14" s="157">
        <f t="shared" si="4"/>
        <v>8</v>
      </c>
      <c r="L14" s="134">
        <f t="shared" si="5"/>
        <v>50</v>
      </c>
      <c r="M14" s="298">
        <v>19</v>
      </c>
      <c r="N14" s="157">
        <f t="shared" si="6"/>
        <v>3.1666666666666665</v>
      </c>
      <c r="O14" s="134">
        <f t="shared" si="7"/>
        <v>22.738162854186744</v>
      </c>
      <c r="P14" s="298">
        <v>80</v>
      </c>
      <c r="Q14" s="157">
        <f t="shared" si="8"/>
        <v>8.8888888888888893</v>
      </c>
      <c r="R14" s="134">
        <f t="shared" si="9"/>
        <v>50</v>
      </c>
      <c r="S14">
        <v>16</v>
      </c>
      <c r="T14" s="157">
        <f t="shared" si="10"/>
        <v>4</v>
      </c>
      <c r="U14" s="134">
        <f t="shared" si="11"/>
        <v>60.261988266449322</v>
      </c>
    </row>
    <row r="15" spans="1:21" ht="27" x14ac:dyDescent="0.45">
      <c r="A15" s="192">
        <v>8</v>
      </c>
      <c r="B15" s="297">
        <v>651201173</v>
      </c>
      <c r="C15" s="297" t="s">
        <v>288</v>
      </c>
      <c r="D15" s="298">
        <v>150</v>
      </c>
      <c r="E15" s="157">
        <f t="shared" si="0"/>
        <v>51.428571428571431</v>
      </c>
      <c r="F15" s="134">
        <f t="shared" si="1"/>
        <v>353.47341339950214</v>
      </c>
      <c r="G15" s="298">
        <v>60</v>
      </c>
      <c r="H15" s="157">
        <f t="shared" si="2"/>
        <v>8</v>
      </c>
      <c r="I15" s="134">
        <f t="shared" si="3"/>
        <v>58.0032673066504</v>
      </c>
      <c r="J15" s="298">
        <v>40</v>
      </c>
      <c r="K15" s="157">
        <f t="shared" si="4"/>
        <v>8</v>
      </c>
      <c r="L15" s="134">
        <f t="shared" si="5"/>
        <v>50</v>
      </c>
      <c r="M15" s="298">
        <v>20</v>
      </c>
      <c r="N15" s="157">
        <f t="shared" si="6"/>
        <v>3.3333333333333335</v>
      </c>
      <c r="O15" s="134">
        <f t="shared" si="7"/>
        <v>25.282729643226656</v>
      </c>
      <c r="P15" s="298">
        <v>80</v>
      </c>
      <c r="Q15" s="157">
        <f t="shared" si="8"/>
        <v>8.8888888888888893</v>
      </c>
      <c r="R15" s="134">
        <f t="shared" si="9"/>
        <v>50</v>
      </c>
      <c r="S15">
        <v>15</v>
      </c>
      <c r="T15" s="157">
        <f t="shared" si="10"/>
        <v>3.75</v>
      </c>
      <c r="U15" s="134">
        <f t="shared" si="11"/>
        <v>57.623191283648069</v>
      </c>
    </row>
    <row r="16" spans="1:21" ht="27" x14ac:dyDescent="0.45">
      <c r="A16" s="192">
        <v>9</v>
      </c>
      <c r="B16" s="297">
        <v>651201174</v>
      </c>
      <c r="C16" s="297" t="s">
        <v>289</v>
      </c>
      <c r="D16" s="298">
        <v>130</v>
      </c>
      <c r="E16" s="157">
        <f t="shared" si="0"/>
        <v>44.571428571428569</v>
      </c>
      <c r="F16" s="134">
        <f t="shared" si="1"/>
        <v>252.1553669583401</v>
      </c>
      <c r="G16" s="298">
        <v>50</v>
      </c>
      <c r="H16" s="157">
        <f t="shared" si="2"/>
        <v>6.666666666666667</v>
      </c>
      <c r="I16" s="134">
        <f t="shared" si="3"/>
        <v>37.423437089549346</v>
      </c>
      <c r="J16" s="298">
        <v>40</v>
      </c>
      <c r="K16" s="157">
        <f t="shared" si="4"/>
        <v>8</v>
      </c>
      <c r="L16" s="134">
        <f t="shared" si="5"/>
        <v>50</v>
      </c>
      <c r="M16" s="298">
        <v>19</v>
      </c>
      <c r="N16" s="157">
        <f t="shared" si="6"/>
        <v>3.1666666666666665</v>
      </c>
      <c r="O16" s="134">
        <f t="shared" si="7"/>
        <v>22.738162854186744</v>
      </c>
      <c r="P16" s="298">
        <v>80</v>
      </c>
      <c r="Q16" s="157">
        <f t="shared" si="8"/>
        <v>8.8888888888888893</v>
      </c>
      <c r="R16" s="134">
        <f t="shared" si="9"/>
        <v>50</v>
      </c>
      <c r="S16">
        <v>18</v>
      </c>
      <c r="T16" s="157">
        <f t="shared" si="10"/>
        <v>4.5</v>
      </c>
      <c r="U16" s="134">
        <f t="shared" si="11"/>
        <v>65.539582232051828</v>
      </c>
    </row>
    <row r="17" spans="1:21" x14ac:dyDescent="0.35">
      <c r="A17" s="192">
        <v>10</v>
      </c>
      <c r="B17" s="191"/>
      <c r="C17" s="190"/>
      <c r="D17" s="189"/>
      <c r="E17" s="157">
        <f t="shared" si="0"/>
        <v>0</v>
      </c>
      <c r="F17" s="134">
        <f t="shared" si="1"/>
        <v>0</v>
      </c>
      <c r="G17" s="189"/>
      <c r="H17" s="157">
        <f t="shared" si="2"/>
        <v>0</v>
      </c>
      <c r="I17" s="134">
        <f t="shared" si="3"/>
        <v>0</v>
      </c>
      <c r="J17" s="189"/>
      <c r="K17" s="157">
        <f t="shared" si="4"/>
        <v>0</v>
      </c>
      <c r="L17" s="134">
        <f t="shared" si="5"/>
        <v>0</v>
      </c>
      <c r="M17" s="189"/>
      <c r="N17" s="157">
        <f t="shared" si="6"/>
        <v>0</v>
      </c>
      <c r="O17" s="134">
        <f t="shared" si="7"/>
        <v>0</v>
      </c>
      <c r="P17" s="189"/>
      <c r="Q17" s="157">
        <f t="shared" si="8"/>
        <v>0</v>
      </c>
      <c r="R17" s="134">
        <f t="shared" si="9"/>
        <v>0</v>
      </c>
      <c r="S17" s="189"/>
      <c r="T17" s="157">
        <f t="shared" si="10"/>
        <v>0</v>
      </c>
      <c r="U17" s="134">
        <f t="shared" si="11"/>
        <v>0</v>
      </c>
    </row>
    <row r="18" spans="1:21" ht="18" customHeight="1" x14ac:dyDescent="0.35">
      <c r="C18" s="141" t="s">
        <v>13</v>
      </c>
      <c r="D18" s="145">
        <f>AVERAGE($D$8:$D$17)</f>
        <v>139.44444444444446</v>
      </c>
      <c r="E18" s="132"/>
      <c r="F18" s="132"/>
      <c r="G18" s="145">
        <f>AVERAGE($G$8:$G$17)</f>
        <v>56.111111111111114</v>
      </c>
      <c r="J18" s="145">
        <f>AVERAGE($J$8:$J$17)</f>
        <v>40.555555555555557</v>
      </c>
      <c r="M18" s="145">
        <f>AVERAGE($M$8:$M$17)</f>
        <v>19.888888888888889</v>
      </c>
      <c r="P18" s="145">
        <f>AVERAGE($P$8:$P$17)</f>
        <v>80</v>
      </c>
      <c r="S18" s="145">
        <f>AVERAGE($S$8:$S$17)</f>
        <v>12.111111111111111</v>
      </c>
    </row>
    <row r="19" spans="1:21" ht="18" customHeight="1" x14ac:dyDescent="0.35">
      <c r="C19" s="141" t="s">
        <v>14</v>
      </c>
      <c r="D19" s="145">
        <f>STDEV($D$8:$D$17)</f>
        <v>11.843892002959914</v>
      </c>
      <c r="E19" s="132"/>
      <c r="F19" s="132"/>
      <c r="G19" s="145">
        <f>STDEV($G$8:$G$17)</f>
        <v>4.8591265790377509</v>
      </c>
      <c r="J19" s="145">
        <f>STDEV($J$8:$J$17)</f>
        <v>1.6666666666666663</v>
      </c>
      <c r="M19" s="145">
        <f>STDEV($M$8:$M$17)</f>
        <v>1.9649710204252659</v>
      </c>
      <c r="P19" s="145">
        <f>STDEV($P$8:$P$17)</f>
        <v>0</v>
      </c>
      <c r="S19" s="145">
        <f>STDEV(S8:S17)</f>
        <v>3.7896056669673581</v>
      </c>
    </row>
    <row r="20" spans="1:21" ht="18" customHeight="1" x14ac:dyDescent="0.35">
      <c r="C20" s="141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</row>
    <row r="21" spans="1:21" ht="18" customHeight="1" x14ac:dyDescent="0.35">
      <c r="A21" s="222"/>
      <c r="B21" s="222" t="s">
        <v>12</v>
      </c>
      <c r="C21" s="222" t="s">
        <v>0</v>
      </c>
      <c r="D21" s="238" t="s">
        <v>199</v>
      </c>
      <c r="E21" s="238"/>
      <c r="F21" s="238"/>
      <c r="G21" s="238" t="s">
        <v>200</v>
      </c>
      <c r="H21" s="238"/>
      <c r="I21" s="238"/>
      <c r="J21" s="236" t="s">
        <v>201</v>
      </c>
      <c r="K21" s="236"/>
      <c r="L21" s="236"/>
      <c r="M21" s="238"/>
      <c r="N21" s="238"/>
      <c r="O21" s="238"/>
      <c r="P21" s="238"/>
      <c r="Q21" s="238"/>
      <c r="R21" s="238"/>
      <c r="S21" s="238"/>
      <c r="T21" s="238"/>
      <c r="U21" s="238"/>
    </row>
    <row r="22" spans="1:21" x14ac:dyDescent="0.35">
      <c r="A22" s="222"/>
      <c r="B22" s="222"/>
      <c r="C22" s="222"/>
      <c r="D22" s="139" t="s">
        <v>17</v>
      </c>
      <c r="E22" s="139" t="s">
        <v>6</v>
      </c>
      <c r="F22" s="139" t="s">
        <v>3</v>
      </c>
      <c r="G22" s="139" t="s">
        <v>17</v>
      </c>
      <c r="H22" s="139" t="s">
        <v>6</v>
      </c>
      <c r="I22" s="139" t="s">
        <v>3</v>
      </c>
      <c r="J22" s="139" t="s">
        <v>17</v>
      </c>
      <c r="K22" s="139" t="s">
        <v>6</v>
      </c>
      <c r="L22" s="139" t="s">
        <v>3</v>
      </c>
      <c r="M22" s="139" t="s">
        <v>17</v>
      </c>
      <c r="N22" s="139" t="s">
        <v>6</v>
      </c>
      <c r="O22" s="139" t="s">
        <v>3</v>
      </c>
      <c r="P22" s="139" t="s">
        <v>17</v>
      </c>
      <c r="Q22" s="139" t="s">
        <v>6</v>
      </c>
      <c r="R22" s="139" t="s">
        <v>3</v>
      </c>
      <c r="S22" s="139" t="s">
        <v>17</v>
      </c>
      <c r="T22" s="139" t="s">
        <v>6</v>
      </c>
      <c r="U22" s="139" t="s">
        <v>3</v>
      </c>
    </row>
    <row r="23" spans="1:21" x14ac:dyDescent="0.35">
      <c r="A23" s="222"/>
      <c r="B23" s="222"/>
      <c r="C23" s="222"/>
      <c r="D23" s="183"/>
      <c r="E23" s="183"/>
      <c r="F23" s="181">
        <f>$E$23/10</f>
        <v>0</v>
      </c>
      <c r="G23" s="183"/>
      <c r="H23" s="183"/>
      <c r="I23" s="181">
        <f>$H$23/10</f>
        <v>0</v>
      </c>
      <c r="J23" s="183"/>
      <c r="K23" s="183"/>
      <c r="L23" s="181">
        <f>$K$23/10</f>
        <v>0</v>
      </c>
      <c r="M23" s="183"/>
      <c r="N23" s="183"/>
      <c r="O23" s="188">
        <f>$N$23/10</f>
        <v>0</v>
      </c>
      <c r="P23" s="183"/>
      <c r="Q23" s="183"/>
      <c r="R23" s="187">
        <f>$Q$23/10</f>
        <v>0</v>
      </c>
      <c r="S23" s="183"/>
      <c r="T23" s="183"/>
      <c r="U23" s="187">
        <f>$T$23/10</f>
        <v>0</v>
      </c>
    </row>
    <row r="24" spans="1:21" ht="22" x14ac:dyDescent="0.35">
      <c r="A24" s="136">
        <v>1</v>
      </c>
      <c r="B24" s="180">
        <f t="shared" ref="B24:C33" si="12">B8</f>
        <v>651201165</v>
      </c>
      <c r="C24" s="179" t="str">
        <f t="shared" si="12"/>
        <v>นางสาวรักษิณา จวนสาง</v>
      </c>
      <c r="D24" s="178"/>
      <c r="E24" s="157">
        <f t="shared" ref="E24:E33" si="13">IF(D24="-","-",IF(D24=0,0,(D24*$E$23)/$D$23))</f>
        <v>0</v>
      </c>
      <c r="F24" s="134">
        <f t="shared" ref="F24:F33" si="14">IF(D24="-","-",IF(D24=0,0,IF($D$35=0,50,(50+(10*(STANDARDIZE(D24,$D$34,$D$35)))))*$F$23))</f>
        <v>0</v>
      </c>
      <c r="G24" s="178"/>
      <c r="H24" s="157">
        <f t="shared" ref="H24:H33" si="15">IF(G24="-","-",IF(G24=0,0,(G24*$H$23)/$G$23))</f>
        <v>0</v>
      </c>
      <c r="I24" s="134">
        <f t="shared" ref="I24:I33" si="16">IF(G24="-","-",IF(G24=0,0,IF($G$35=0,50,(50+(10*(STANDARDIZE(G24,$G$34,$G$35)))))*$I$23))</f>
        <v>0</v>
      </c>
      <c r="J24" s="178"/>
      <c r="K24" s="157">
        <f t="shared" ref="K24:K33" si="17">IF(J24="-","-",IF(J24=0,0,(J24*$K$23)/$J$23))</f>
        <v>0</v>
      </c>
      <c r="L24" s="134">
        <f t="shared" ref="L24:L33" si="18">IF(J24="-","-",IF(J24=0,0,IF($J$35=0,50,(50+(10*(STANDARDIZE(J24,$J$34,$J$35)))))*$L$23))</f>
        <v>0</v>
      </c>
      <c r="M24" s="178"/>
      <c r="N24" s="157">
        <f t="shared" ref="N24:N33" si="19">IF(M24="-","-",IF(M24=0,0,(M24*$N$23)/$M$23))</f>
        <v>0</v>
      </c>
      <c r="O24" s="134">
        <f t="shared" ref="O24:O33" si="20">IF(M24="-","-",IF(M24=0,0,IF($M$35=0,50,(50+(10*(STANDARDIZE(M24,$M$34,$M$35)))))*$O$23))</f>
        <v>0</v>
      </c>
      <c r="P24" s="178"/>
      <c r="Q24" s="157">
        <f t="shared" ref="Q24:Q33" si="21">IF(P24="-","-",IF(P24=0,0,(P24*$Q$23)/$P$23))</f>
        <v>0</v>
      </c>
      <c r="R24" s="134">
        <f t="shared" ref="R24:R33" si="22">IF(P24="-","-",IF(P24=0,0,IF($P$35=0,50,(50+(10*(STANDARDIZE(P24,$P$34,$P$35)))))*$R$23))</f>
        <v>0</v>
      </c>
      <c r="S24" s="178"/>
      <c r="T24" s="157">
        <f t="shared" ref="T24:T33" si="23">IF(S24="-","-",IF(S24=0,0,(S24*$T$23)/$S$23))</f>
        <v>0</v>
      </c>
      <c r="U24" s="134">
        <f t="shared" ref="U24:U33" si="24">IF(S24="-","-",IF(S24=0,0,IF($S$35=0,50,(50+(10*(STANDARDIZE(S24,$S$34,$S$35)))))*$U$23))</f>
        <v>0</v>
      </c>
    </row>
    <row r="25" spans="1:21" ht="22" x14ac:dyDescent="0.35">
      <c r="A25" s="136">
        <v>2</v>
      </c>
      <c r="B25" s="180">
        <f t="shared" si="12"/>
        <v>651201166</v>
      </c>
      <c r="C25" s="179" t="str">
        <f t="shared" si="12"/>
        <v>นางสาวรัตนา แก้วอาษา</v>
      </c>
      <c r="D25" s="178"/>
      <c r="E25" s="157">
        <f t="shared" si="13"/>
        <v>0</v>
      </c>
      <c r="F25" s="134">
        <f t="shared" si="14"/>
        <v>0</v>
      </c>
      <c r="G25" s="178"/>
      <c r="H25" s="157">
        <f t="shared" si="15"/>
        <v>0</v>
      </c>
      <c r="I25" s="134">
        <f t="shared" si="16"/>
        <v>0</v>
      </c>
      <c r="J25" s="178"/>
      <c r="K25" s="157">
        <f t="shared" si="17"/>
        <v>0</v>
      </c>
      <c r="L25" s="134">
        <f t="shared" si="18"/>
        <v>0</v>
      </c>
      <c r="M25" s="178"/>
      <c r="N25" s="157">
        <f t="shared" si="19"/>
        <v>0</v>
      </c>
      <c r="O25" s="134">
        <f t="shared" si="20"/>
        <v>0</v>
      </c>
      <c r="P25" s="178"/>
      <c r="Q25" s="157">
        <f t="shared" si="21"/>
        <v>0</v>
      </c>
      <c r="R25" s="134">
        <f t="shared" si="22"/>
        <v>0</v>
      </c>
      <c r="S25" s="178"/>
      <c r="T25" s="157">
        <f t="shared" si="23"/>
        <v>0</v>
      </c>
      <c r="U25" s="134">
        <f t="shared" si="24"/>
        <v>0</v>
      </c>
    </row>
    <row r="26" spans="1:21" ht="22" x14ac:dyDescent="0.35">
      <c r="A26" s="136">
        <v>3</v>
      </c>
      <c r="B26" s="180">
        <f t="shared" si="12"/>
        <v>651201167</v>
      </c>
      <c r="C26" s="179" t="str">
        <f t="shared" si="12"/>
        <v>นางสาวลลิตา กุลเทียนประดิษฐ์</v>
      </c>
      <c r="D26" s="178"/>
      <c r="E26" s="157">
        <f t="shared" si="13"/>
        <v>0</v>
      </c>
      <c r="F26" s="134">
        <f t="shared" si="14"/>
        <v>0</v>
      </c>
      <c r="G26" s="178"/>
      <c r="H26" s="157">
        <f t="shared" si="15"/>
        <v>0</v>
      </c>
      <c r="I26" s="134">
        <f t="shared" si="16"/>
        <v>0</v>
      </c>
      <c r="J26" s="178"/>
      <c r="K26" s="157">
        <f t="shared" si="17"/>
        <v>0</v>
      </c>
      <c r="L26" s="134">
        <f t="shared" si="18"/>
        <v>0</v>
      </c>
      <c r="M26" s="178"/>
      <c r="N26" s="157">
        <f t="shared" si="19"/>
        <v>0</v>
      </c>
      <c r="O26" s="134">
        <f t="shared" si="20"/>
        <v>0</v>
      </c>
      <c r="P26" s="178"/>
      <c r="Q26" s="157">
        <f t="shared" si="21"/>
        <v>0</v>
      </c>
      <c r="R26" s="134">
        <f t="shared" si="22"/>
        <v>0</v>
      </c>
      <c r="S26" s="178"/>
      <c r="T26" s="157">
        <f t="shared" si="23"/>
        <v>0</v>
      </c>
      <c r="U26" s="134">
        <f t="shared" si="24"/>
        <v>0</v>
      </c>
    </row>
    <row r="27" spans="1:21" ht="22" x14ac:dyDescent="0.35">
      <c r="A27" s="136">
        <v>4</v>
      </c>
      <c r="B27" s="180">
        <f t="shared" si="12"/>
        <v>651201169</v>
      </c>
      <c r="C27" s="179" t="str">
        <f t="shared" si="12"/>
        <v>นายวรปรัชญ์ ปัดไธสง</v>
      </c>
      <c r="D27" s="178"/>
      <c r="E27" s="157">
        <f t="shared" si="13"/>
        <v>0</v>
      </c>
      <c r="F27" s="134">
        <f t="shared" si="14"/>
        <v>0</v>
      </c>
      <c r="G27" s="178"/>
      <c r="H27" s="157">
        <f t="shared" si="15"/>
        <v>0</v>
      </c>
      <c r="I27" s="134">
        <f t="shared" si="16"/>
        <v>0</v>
      </c>
      <c r="J27" s="178"/>
      <c r="K27" s="157">
        <f t="shared" si="17"/>
        <v>0</v>
      </c>
      <c r="L27" s="134">
        <f t="shared" si="18"/>
        <v>0</v>
      </c>
      <c r="M27" s="178"/>
      <c r="N27" s="157">
        <f t="shared" si="19"/>
        <v>0</v>
      </c>
      <c r="O27" s="134">
        <f t="shared" si="20"/>
        <v>0</v>
      </c>
      <c r="P27" s="178"/>
      <c r="Q27" s="157">
        <f t="shared" si="21"/>
        <v>0</v>
      </c>
      <c r="R27" s="134">
        <f t="shared" si="22"/>
        <v>0</v>
      </c>
      <c r="S27" s="178"/>
      <c r="T27" s="157">
        <f t="shared" si="23"/>
        <v>0</v>
      </c>
      <c r="U27" s="134">
        <f t="shared" si="24"/>
        <v>0</v>
      </c>
    </row>
    <row r="28" spans="1:21" ht="22" x14ac:dyDescent="0.35">
      <c r="A28" s="136">
        <v>5</v>
      </c>
      <c r="B28" s="180">
        <f t="shared" si="12"/>
        <v>651201170</v>
      </c>
      <c r="C28" s="179" t="str">
        <f t="shared" si="12"/>
        <v>นายวรเมธ สีดำ</v>
      </c>
      <c r="D28" s="178"/>
      <c r="E28" s="157">
        <f t="shared" si="13"/>
        <v>0</v>
      </c>
      <c r="F28" s="134">
        <f t="shared" si="14"/>
        <v>0</v>
      </c>
      <c r="G28" s="178"/>
      <c r="H28" s="157">
        <f t="shared" si="15"/>
        <v>0</v>
      </c>
      <c r="I28" s="134">
        <f t="shared" si="16"/>
        <v>0</v>
      </c>
      <c r="J28" s="178"/>
      <c r="K28" s="157">
        <f t="shared" si="17"/>
        <v>0</v>
      </c>
      <c r="L28" s="134">
        <f t="shared" si="18"/>
        <v>0</v>
      </c>
      <c r="M28" s="178"/>
      <c r="N28" s="157">
        <f t="shared" si="19"/>
        <v>0</v>
      </c>
      <c r="O28" s="134">
        <f t="shared" si="20"/>
        <v>0</v>
      </c>
      <c r="P28" s="178"/>
      <c r="Q28" s="157">
        <f t="shared" si="21"/>
        <v>0</v>
      </c>
      <c r="R28" s="134">
        <f t="shared" si="22"/>
        <v>0</v>
      </c>
      <c r="S28" s="178"/>
      <c r="T28" s="157">
        <f t="shared" si="23"/>
        <v>0</v>
      </c>
      <c r="U28" s="134">
        <f t="shared" si="24"/>
        <v>0</v>
      </c>
    </row>
    <row r="29" spans="1:21" ht="22" x14ac:dyDescent="0.35">
      <c r="A29" s="136">
        <v>6</v>
      </c>
      <c r="B29" s="180">
        <f t="shared" si="12"/>
        <v>651201171</v>
      </c>
      <c r="C29" s="179" t="str">
        <f t="shared" si="12"/>
        <v>นายวรากร ก้อมมะณี</v>
      </c>
      <c r="D29" s="178"/>
      <c r="E29" s="157">
        <f t="shared" si="13"/>
        <v>0</v>
      </c>
      <c r="F29" s="134">
        <f t="shared" si="14"/>
        <v>0</v>
      </c>
      <c r="G29" s="178"/>
      <c r="H29" s="157">
        <f t="shared" si="15"/>
        <v>0</v>
      </c>
      <c r="I29" s="134">
        <f t="shared" si="16"/>
        <v>0</v>
      </c>
      <c r="J29" s="178"/>
      <c r="K29" s="157">
        <f t="shared" si="17"/>
        <v>0</v>
      </c>
      <c r="L29" s="134">
        <f t="shared" si="18"/>
        <v>0</v>
      </c>
      <c r="M29" s="178"/>
      <c r="N29" s="157">
        <f t="shared" si="19"/>
        <v>0</v>
      </c>
      <c r="O29" s="134">
        <f t="shared" si="20"/>
        <v>0</v>
      </c>
      <c r="P29" s="178"/>
      <c r="Q29" s="157">
        <f t="shared" si="21"/>
        <v>0</v>
      </c>
      <c r="R29" s="134">
        <f t="shared" si="22"/>
        <v>0</v>
      </c>
      <c r="S29" s="178"/>
      <c r="T29" s="157">
        <f t="shared" si="23"/>
        <v>0</v>
      </c>
      <c r="U29" s="134">
        <f t="shared" si="24"/>
        <v>0</v>
      </c>
    </row>
    <row r="30" spans="1:21" ht="22" x14ac:dyDescent="0.35">
      <c r="A30" s="136">
        <v>7</v>
      </c>
      <c r="B30" s="180">
        <f t="shared" si="12"/>
        <v>651201172</v>
      </c>
      <c r="C30" s="179" t="str">
        <f t="shared" si="12"/>
        <v>นางสาววริสรา สายทอง</v>
      </c>
      <c r="D30" s="178"/>
      <c r="E30" s="157">
        <f t="shared" si="13"/>
        <v>0</v>
      </c>
      <c r="F30" s="134">
        <f t="shared" si="14"/>
        <v>0</v>
      </c>
      <c r="G30" s="178"/>
      <c r="H30" s="157">
        <f t="shared" si="15"/>
        <v>0</v>
      </c>
      <c r="I30" s="134">
        <f t="shared" si="16"/>
        <v>0</v>
      </c>
      <c r="J30" s="178"/>
      <c r="K30" s="157">
        <f t="shared" si="17"/>
        <v>0</v>
      </c>
      <c r="L30" s="134">
        <f t="shared" si="18"/>
        <v>0</v>
      </c>
      <c r="M30" s="178"/>
      <c r="N30" s="157">
        <f t="shared" si="19"/>
        <v>0</v>
      </c>
      <c r="O30" s="134">
        <f t="shared" si="20"/>
        <v>0</v>
      </c>
      <c r="P30" s="178"/>
      <c r="Q30" s="157">
        <f t="shared" si="21"/>
        <v>0</v>
      </c>
      <c r="R30" s="134">
        <f t="shared" si="22"/>
        <v>0</v>
      </c>
      <c r="S30" s="178"/>
      <c r="T30" s="157">
        <f t="shared" si="23"/>
        <v>0</v>
      </c>
      <c r="U30" s="134">
        <f t="shared" si="24"/>
        <v>0</v>
      </c>
    </row>
    <row r="31" spans="1:21" ht="22" x14ac:dyDescent="0.35">
      <c r="A31" s="136">
        <v>8</v>
      </c>
      <c r="B31" s="180">
        <f t="shared" si="12"/>
        <v>651201173</v>
      </c>
      <c r="C31" s="179" t="str">
        <f t="shared" si="12"/>
        <v>นางสาววีรยา ประทุมทอง</v>
      </c>
      <c r="D31" s="178"/>
      <c r="E31" s="157">
        <f t="shared" si="13"/>
        <v>0</v>
      </c>
      <c r="F31" s="134">
        <f t="shared" si="14"/>
        <v>0</v>
      </c>
      <c r="G31" s="178"/>
      <c r="H31" s="157">
        <f t="shared" si="15"/>
        <v>0</v>
      </c>
      <c r="I31" s="134">
        <f t="shared" si="16"/>
        <v>0</v>
      </c>
      <c r="J31" s="178"/>
      <c r="K31" s="157">
        <f t="shared" si="17"/>
        <v>0</v>
      </c>
      <c r="L31" s="134">
        <f t="shared" si="18"/>
        <v>0</v>
      </c>
      <c r="M31" s="178"/>
      <c r="N31" s="157">
        <f t="shared" si="19"/>
        <v>0</v>
      </c>
      <c r="O31" s="134">
        <f t="shared" si="20"/>
        <v>0</v>
      </c>
      <c r="P31" s="178"/>
      <c r="Q31" s="157">
        <f t="shared" si="21"/>
        <v>0</v>
      </c>
      <c r="R31" s="134">
        <f t="shared" si="22"/>
        <v>0</v>
      </c>
      <c r="S31" s="178"/>
      <c r="T31" s="157">
        <f t="shared" si="23"/>
        <v>0</v>
      </c>
      <c r="U31" s="134">
        <f t="shared" si="24"/>
        <v>0</v>
      </c>
    </row>
    <row r="32" spans="1:21" x14ac:dyDescent="0.35">
      <c r="A32" s="136">
        <v>9</v>
      </c>
      <c r="B32" s="180">
        <f t="shared" si="12"/>
        <v>651201174</v>
      </c>
      <c r="C32" s="179" t="str">
        <f t="shared" si="12"/>
        <v>นางสาวศศิธร สุขม่วง</v>
      </c>
      <c r="D32" s="178"/>
      <c r="E32" s="157">
        <f t="shared" si="13"/>
        <v>0</v>
      </c>
      <c r="F32" s="134">
        <f t="shared" si="14"/>
        <v>0</v>
      </c>
      <c r="G32" s="178"/>
      <c r="H32" s="157">
        <f t="shared" si="15"/>
        <v>0</v>
      </c>
      <c r="I32" s="134">
        <f t="shared" si="16"/>
        <v>0</v>
      </c>
      <c r="J32" s="178"/>
      <c r="K32" s="157">
        <f t="shared" si="17"/>
        <v>0</v>
      </c>
      <c r="L32" s="134">
        <f t="shared" si="18"/>
        <v>0</v>
      </c>
      <c r="M32" s="178"/>
      <c r="N32" s="157">
        <f t="shared" si="19"/>
        <v>0</v>
      </c>
      <c r="O32" s="134">
        <f t="shared" si="20"/>
        <v>0</v>
      </c>
      <c r="P32" s="178"/>
      <c r="Q32" s="157">
        <f t="shared" si="21"/>
        <v>0</v>
      </c>
      <c r="R32" s="134">
        <f t="shared" si="22"/>
        <v>0</v>
      </c>
      <c r="S32" s="178"/>
      <c r="T32" s="157">
        <f t="shared" si="23"/>
        <v>0</v>
      </c>
      <c r="U32" s="134">
        <f t="shared" si="24"/>
        <v>0</v>
      </c>
    </row>
    <row r="33" spans="1:21" x14ac:dyDescent="0.35">
      <c r="A33" s="136">
        <v>10</v>
      </c>
      <c r="B33" s="180">
        <f t="shared" si="12"/>
        <v>0</v>
      </c>
      <c r="C33" s="179">
        <f t="shared" si="12"/>
        <v>0</v>
      </c>
      <c r="D33" s="178"/>
      <c r="E33" s="157">
        <f t="shared" si="13"/>
        <v>0</v>
      </c>
      <c r="F33" s="134">
        <f t="shared" si="14"/>
        <v>0</v>
      </c>
      <c r="G33" s="178"/>
      <c r="H33" s="157">
        <f t="shared" si="15"/>
        <v>0</v>
      </c>
      <c r="I33" s="134">
        <f t="shared" si="16"/>
        <v>0</v>
      </c>
      <c r="J33" s="178"/>
      <c r="K33" s="157">
        <f t="shared" si="17"/>
        <v>0</v>
      </c>
      <c r="L33" s="134">
        <f t="shared" si="18"/>
        <v>0</v>
      </c>
      <c r="M33" s="178"/>
      <c r="N33" s="157">
        <f t="shared" si="19"/>
        <v>0</v>
      </c>
      <c r="O33" s="134">
        <f t="shared" si="20"/>
        <v>0</v>
      </c>
      <c r="P33" s="178"/>
      <c r="Q33" s="157">
        <f t="shared" si="21"/>
        <v>0</v>
      </c>
      <c r="R33" s="134">
        <f t="shared" si="22"/>
        <v>0</v>
      </c>
      <c r="S33" s="178"/>
      <c r="T33" s="157">
        <f t="shared" si="23"/>
        <v>0</v>
      </c>
      <c r="U33" s="134">
        <f t="shared" si="24"/>
        <v>0</v>
      </c>
    </row>
    <row r="34" spans="1:21" x14ac:dyDescent="0.35">
      <c r="C34" s="141" t="s">
        <v>13</v>
      </c>
      <c r="D34" s="145" t="e">
        <f>AVERAGE($D$24:$D$33)</f>
        <v>#DIV/0!</v>
      </c>
      <c r="G34" s="145" t="e">
        <f>AVERAGE($G$24:$G$33)</f>
        <v>#DIV/0!</v>
      </c>
      <c r="J34" s="145" t="e">
        <f>AVERAGE($J$24:$J$33)</f>
        <v>#DIV/0!</v>
      </c>
      <c r="M34" s="145" t="e">
        <f>AVERAGE($M$24:$M$33)</f>
        <v>#DIV/0!</v>
      </c>
      <c r="P34" s="145" t="e">
        <f>AVERAGE($P$24:$P$33)</f>
        <v>#DIV/0!</v>
      </c>
      <c r="S34" s="186" t="e">
        <f>AVERAGE($S$24:$S$33)</f>
        <v>#DIV/0!</v>
      </c>
    </row>
    <row r="35" spans="1:21" x14ac:dyDescent="0.35">
      <c r="C35" s="141" t="s">
        <v>14</v>
      </c>
      <c r="D35" s="145" t="e">
        <f>STDEV($D$24:$D$33)</f>
        <v>#DIV/0!</v>
      </c>
      <c r="F35" s="168"/>
      <c r="G35" s="145" t="e">
        <f>STDEV($G$24:$G$33)</f>
        <v>#DIV/0!</v>
      </c>
      <c r="J35" s="145" t="e">
        <f>STDEV($J$24:$J$33)</f>
        <v>#DIV/0!</v>
      </c>
      <c r="L35" s="168"/>
      <c r="M35" s="145" t="e">
        <f>STDEV($M$24:$M$33)</f>
        <v>#DIV/0!</v>
      </c>
      <c r="P35" s="145" t="e">
        <f>STDEV($P$24:$P$33)</f>
        <v>#DIV/0!</v>
      </c>
      <c r="S35" s="186" t="e">
        <f>STDEV($S$24:$S$33)</f>
        <v>#DIV/0!</v>
      </c>
    </row>
    <row r="36" spans="1:21" x14ac:dyDescent="0.35">
      <c r="C36" s="141"/>
      <c r="D36" s="145"/>
      <c r="F36" s="168"/>
      <c r="G36" s="145" t="s">
        <v>2</v>
      </c>
      <c r="J36" s="145"/>
      <c r="L36" s="168"/>
      <c r="M36" s="145"/>
      <c r="P36" s="131" t="s">
        <v>2</v>
      </c>
    </row>
    <row r="37" spans="1:21" x14ac:dyDescent="0.35"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</row>
    <row r="38" spans="1:21" x14ac:dyDescent="0.35">
      <c r="A38" s="222" t="s">
        <v>76</v>
      </c>
      <c r="B38" s="222" t="s">
        <v>12</v>
      </c>
      <c r="C38" s="222" t="s">
        <v>0</v>
      </c>
      <c r="D38" s="238"/>
      <c r="E38" s="238"/>
      <c r="F38" s="238"/>
      <c r="G38" s="238"/>
      <c r="H38" s="238"/>
      <c r="I38" s="238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</row>
    <row r="39" spans="1:21" x14ac:dyDescent="0.35">
      <c r="A39" s="222"/>
      <c r="B39" s="222"/>
      <c r="C39" s="222"/>
      <c r="D39" s="139" t="s">
        <v>17</v>
      </c>
      <c r="E39" s="139" t="s">
        <v>6</v>
      </c>
      <c r="F39" s="139" t="s">
        <v>3</v>
      </c>
      <c r="G39" s="139" t="s">
        <v>17</v>
      </c>
      <c r="H39" s="139" t="s">
        <v>6</v>
      </c>
      <c r="I39" s="139" t="s">
        <v>3</v>
      </c>
      <c r="J39" s="139" t="s">
        <v>17</v>
      </c>
      <c r="K39" s="139" t="s">
        <v>6</v>
      </c>
      <c r="L39" s="139" t="s">
        <v>3</v>
      </c>
      <c r="M39" s="139" t="s">
        <v>17</v>
      </c>
      <c r="N39" s="139" t="s">
        <v>6</v>
      </c>
      <c r="O39" s="139" t="s">
        <v>3</v>
      </c>
      <c r="P39" s="139" t="s">
        <v>17</v>
      </c>
      <c r="Q39" s="139" t="s">
        <v>6</v>
      </c>
      <c r="R39" s="139" t="s">
        <v>3</v>
      </c>
      <c r="S39" s="139" t="s">
        <v>17</v>
      </c>
      <c r="T39" s="139" t="s">
        <v>6</v>
      </c>
      <c r="U39" s="139" t="s">
        <v>3</v>
      </c>
    </row>
    <row r="40" spans="1:21" x14ac:dyDescent="0.35">
      <c r="A40" s="222"/>
      <c r="B40" s="222"/>
      <c r="C40" s="222"/>
      <c r="D40" s="183"/>
      <c r="E40" s="183"/>
      <c r="F40" s="181">
        <f>$E$40/10</f>
        <v>0</v>
      </c>
      <c r="G40" s="183"/>
      <c r="H40" s="183"/>
      <c r="I40" s="181">
        <f>$H$40/10</f>
        <v>0</v>
      </c>
      <c r="J40" s="183"/>
      <c r="K40" s="183"/>
      <c r="L40" s="185">
        <f>$K$40/10</f>
        <v>0</v>
      </c>
      <c r="M40" s="183"/>
      <c r="N40" s="183"/>
      <c r="O40" s="181">
        <f>$N$40/10</f>
        <v>0</v>
      </c>
      <c r="P40" s="183"/>
      <c r="Q40" s="183"/>
      <c r="R40" s="181">
        <f>$Q$40/10</f>
        <v>0</v>
      </c>
      <c r="S40" s="183"/>
      <c r="T40" s="183"/>
      <c r="U40" s="181">
        <f>$T$40/10</f>
        <v>0</v>
      </c>
    </row>
    <row r="41" spans="1:21" ht="22" x14ac:dyDescent="0.35">
      <c r="A41" s="136">
        <v>1</v>
      </c>
      <c r="B41" s="180">
        <f t="shared" ref="B41:C50" si="25">B8</f>
        <v>651201165</v>
      </c>
      <c r="C41" s="179" t="str">
        <f t="shared" si="25"/>
        <v>นางสาวรักษิณา จวนสาง</v>
      </c>
      <c r="D41" s="178"/>
      <c r="E41" s="157">
        <f t="shared" ref="E41:E50" si="26">IF(D41="-","-",IF(D41=0,0,(D41*$E$40)/$D$40))</f>
        <v>0</v>
      </c>
      <c r="F41" s="134">
        <f t="shared" ref="F41:F50" si="27">IF(D41="-","-",IF(D41=0,0,IF($D$52=0,50,(50+(10*(STANDARDIZE(D41,$D$51,$D$52)))))*$F$40))</f>
        <v>0</v>
      </c>
      <c r="G41" s="178"/>
      <c r="H41" s="157">
        <f t="shared" ref="H41:H50" si="28">IF(G41="-","-",IF(G41=0,0,(G41*$H$40)/$G$40))</f>
        <v>0</v>
      </c>
      <c r="I41" s="134">
        <f t="shared" ref="I41:I50" si="29">IF(G41="-","-",IF(G41=0,0,IF($G$52=0,50,(50+(10*(STANDARDIZE(G41,$G$51,$G$52)))))*$I$40))</f>
        <v>0</v>
      </c>
      <c r="J41" s="178"/>
      <c r="K41" s="157">
        <f t="shared" ref="K41:K50" si="30">IF(J41="-","-",IF(J41=0,0,(J41*$K$40)/$J$40))</f>
        <v>0</v>
      </c>
      <c r="L41" s="134">
        <f t="shared" ref="L41:L50" si="31">IF(J41="-","-",IF(J41=0,0,IF($J$52=0,50,(50+(10*(STANDARDIZE(J41,$J$51,$J$52)))))*$L$40))</f>
        <v>0</v>
      </c>
      <c r="M41" s="178"/>
      <c r="N41" s="157">
        <f t="shared" ref="N41:N50" si="32">IF(M41="-","-",IF(M41=0,0,(M41*$N$40)/$M$40))</f>
        <v>0</v>
      </c>
      <c r="O41" s="134">
        <f t="shared" ref="O41:O50" si="33">IF(M41="-","-",IF(M41=0,0,IF($M$52=0,50,(50+(10*(STANDARDIZE(M41,$M$51,$M$52)))))*$O$40))</f>
        <v>0</v>
      </c>
      <c r="P41" s="178"/>
      <c r="Q41" s="157">
        <f t="shared" ref="Q41:Q50" si="34">IF(P41="-","-",IF(P41=0,0,(P41*$Q$40)/$P$40))</f>
        <v>0</v>
      </c>
      <c r="R41" s="134">
        <f t="shared" ref="R41:R50" si="35">IF(P41="-","-",IF(P41=0,0,IF($P$52=0,50,(50+(10*(STANDARDIZE(P41,$P$51,$P$52)))))*$R$40))</f>
        <v>0</v>
      </c>
      <c r="S41" s="178"/>
      <c r="T41" s="157">
        <f t="shared" ref="T41:T50" si="36">IF(S41="-","-",IF(S41=0,0,(S41*$T$40)/$S$40))</f>
        <v>0</v>
      </c>
      <c r="U41" s="134">
        <f t="shared" ref="U41:U50" si="37">IF(S41="-","-",IF(S41=0,0,IF($S$52=0,50,(50+(10*(STANDARDIZE(S41,$S$51,$S$52)))))*$U$40))</f>
        <v>0</v>
      </c>
    </row>
    <row r="42" spans="1:21" ht="22" x14ac:dyDescent="0.35">
      <c r="A42" s="136">
        <v>2</v>
      </c>
      <c r="B42" s="180">
        <f t="shared" si="25"/>
        <v>651201166</v>
      </c>
      <c r="C42" s="179" t="str">
        <f t="shared" si="25"/>
        <v>นางสาวรัตนา แก้วอาษา</v>
      </c>
      <c r="D42" s="178"/>
      <c r="E42" s="157">
        <f t="shared" si="26"/>
        <v>0</v>
      </c>
      <c r="F42" s="134">
        <f t="shared" si="27"/>
        <v>0</v>
      </c>
      <c r="G42" s="178"/>
      <c r="H42" s="157">
        <f t="shared" si="28"/>
        <v>0</v>
      </c>
      <c r="I42" s="134">
        <f t="shared" si="29"/>
        <v>0</v>
      </c>
      <c r="J42" s="178"/>
      <c r="K42" s="157">
        <f t="shared" si="30"/>
        <v>0</v>
      </c>
      <c r="L42" s="134">
        <f t="shared" si="31"/>
        <v>0</v>
      </c>
      <c r="M42" s="178"/>
      <c r="N42" s="157">
        <f t="shared" si="32"/>
        <v>0</v>
      </c>
      <c r="O42" s="134">
        <f t="shared" si="33"/>
        <v>0</v>
      </c>
      <c r="P42" s="178"/>
      <c r="Q42" s="157">
        <f t="shared" si="34"/>
        <v>0</v>
      </c>
      <c r="R42" s="134">
        <f t="shared" si="35"/>
        <v>0</v>
      </c>
      <c r="S42" s="178"/>
      <c r="T42" s="157">
        <f t="shared" si="36"/>
        <v>0</v>
      </c>
      <c r="U42" s="134">
        <f t="shared" si="37"/>
        <v>0</v>
      </c>
    </row>
    <row r="43" spans="1:21" ht="22" x14ac:dyDescent="0.35">
      <c r="A43" s="136">
        <v>3</v>
      </c>
      <c r="B43" s="180">
        <f t="shared" si="25"/>
        <v>651201167</v>
      </c>
      <c r="C43" s="179" t="str">
        <f t="shared" si="25"/>
        <v>นางสาวลลิตา กุลเทียนประดิษฐ์</v>
      </c>
      <c r="D43" s="178"/>
      <c r="E43" s="157">
        <f t="shared" si="26"/>
        <v>0</v>
      </c>
      <c r="F43" s="134">
        <f t="shared" si="27"/>
        <v>0</v>
      </c>
      <c r="G43" s="178"/>
      <c r="H43" s="157">
        <f t="shared" si="28"/>
        <v>0</v>
      </c>
      <c r="I43" s="134">
        <f t="shared" si="29"/>
        <v>0</v>
      </c>
      <c r="J43" s="178"/>
      <c r="K43" s="157">
        <f t="shared" si="30"/>
        <v>0</v>
      </c>
      <c r="L43" s="134">
        <f t="shared" si="31"/>
        <v>0</v>
      </c>
      <c r="M43" s="178"/>
      <c r="N43" s="157">
        <f t="shared" si="32"/>
        <v>0</v>
      </c>
      <c r="O43" s="134">
        <f t="shared" si="33"/>
        <v>0</v>
      </c>
      <c r="P43" s="178"/>
      <c r="Q43" s="157">
        <f t="shared" si="34"/>
        <v>0</v>
      </c>
      <c r="R43" s="134">
        <f t="shared" si="35"/>
        <v>0</v>
      </c>
      <c r="S43" s="178"/>
      <c r="T43" s="157">
        <f t="shared" si="36"/>
        <v>0</v>
      </c>
      <c r="U43" s="134">
        <f t="shared" si="37"/>
        <v>0</v>
      </c>
    </row>
    <row r="44" spans="1:21" ht="22" x14ac:dyDescent="0.35">
      <c r="A44" s="136">
        <v>4</v>
      </c>
      <c r="B44" s="180">
        <f t="shared" si="25"/>
        <v>651201169</v>
      </c>
      <c r="C44" s="179" t="str">
        <f t="shared" si="25"/>
        <v>นายวรปรัชญ์ ปัดไธสง</v>
      </c>
      <c r="D44" s="178"/>
      <c r="E44" s="157">
        <f t="shared" si="26"/>
        <v>0</v>
      </c>
      <c r="F44" s="134">
        <f t="shared" si="27"/>
        <v>0</v>
      </c>
      <c r="G44" s="178"/>
      <c r="H44" s="157">
        <f t="shared" si="28"/>
        <v>0</v>
      </c>
      <c r="I44" s="134">
        <f t="shared" si="29"/>
        <v>0</v>
      </c>
      <c r="J44" s="178"/>
      <c r="K44" s="157">
        <f t="shared" si="30"/>
        <v>0</v>
      </c>
      <c r="L44" s="134">
        <f t="shared" si="31"/>
        <v>0</v>
      </c>
      <c r="M44" s="178"/>
      <c r="N44" s="157">
        <f t="shared" si="32"/>
        <v>0</v>
      </c>
      <c r="O44" s="134">
        <f t="shared" si="33"/>
        <v>0</v>
      </c>
      <c r="P44" s="178"/>
      <c r="Q44" s="157">
        <f t="shared" si="34"/>
        <v>0</v>
      </c>
      <c r="R44" s="134">
        <f t="shared" si="35"/>
        <v>0</v>
      </c>
      <c r="S44" s="178"/>
      <c r="T44" s="157">
        <f t="shared" si="36"/>
        <v>0</v>
      </c>
      <c r="U44" s="134">
        <f t="shared" si="37"/>
        <v>0</v>
      </c>
    </row>
    <row r="45" spans="1:21" ht="22" x14ac:dyDescent="0.35">
      <c r="A45" s="136">
        <v>5</v>
      </c>
      <c r="B45" s="180">
        <f t="shared" si="25"/>
        <v>651201170</v>
      </c>
      <c r="C45" s="179" t="str">
        <f t="shared" si="25"/>
        <v>นายวรเมธ สีดำ</v>
      </c>
      <c r="D45" s="178"/>
      <c r="E45" s="157">
        <f t="shared" si="26"/>
        <v>0</v>
      </c>
      <c r="F45" s="134">
        <f t="shared" si="27"/>
        <v>0</v>
      </c>
      <c r="G45" s="178"/>
      <c r="H45" s="157">
        <f t="shared" si="28"/>
        <v>0</v>
      </c>
      <c r="I45" s="134">
        <f t="shared" si="29"/>
        <v>0</v>
      </c>
      <c r="J45" s="178"/>
      <c r="K45" s="157">
        <f t="shared" si="30"/>
        <v>0</v>
      </c>
      <c r="L45" s="134">
        <f t="shared" si="31"/>
        <v>0</v>
      </c>
      <c r="M45" s="178"/>
      <c r="N45" s="157">
        <f t="shared" si="32"/>
        <v>0</v>
      </c>
      <c r="O45" s="134">
        <f t="shared" si="33"/>
        <v>0</v>
      </c>
      <c r="P45" s="178"/>
      <c r="Q45" s="157">
        <f t="shared" si="34"/>
        <v>0</v>
      </c>
      <c r="R45" s="134">
        <f t="shared" si="35"/>
        <v>0</v>
      </c>
      <c r="S45" s="178"/>
      <c r="T45" s="157">
        <f t="shared" si="36"/>
        <v>0</v>
      </c>
      <c r="U45" s="134">
        <f t="shared" si="37"/>
        <v>0</v>
      </c>
    </row>
    <row r="46" spans="1:21" ht="22" x14ac:dyDescent="0.35">
      <c r="A46" s="136">
        <v>6</v>
      </c>
      <c r="B46" s="180">
        <f t="shared" si="25"/>
        <v>651201171</v>
      </c>
      <c r="C46" s="179" t="str">
        <f t="shared" si="25"/>
        <v>นายวรากร ก้อมมะณี</v>
      </c>
      <c r="D46" s="178"/>
      <c r="E46" s="157">
        <f t="shared" si="26"/>
        <v>0</v>
      </c>
      <c r="F46" s="134">
        <f t="shared" si="27"/>
        <v>0</v>
      </c>
      <c r="G46" s="178"/>
      <c r="H46" s="157">
        <f t="shared" si="28"/>
        <v>0</v>
      </c>
      <c r="I46" s="134">
        <f t="shared" si="29"/>
        <v>0</v>
      </c>
      <c r="J46" s="178"/>
      <c r="K46" s="157">
        <f t="shared" si="30"/>
        <v>0</v>
      </c>
      <c r="L46" s="134">
        <f t="shared" si="31"/>
        <v>0</v>
      </c>
      <c r="M46" s="178"/>
      <c r="N46" s="157">
        <f t="shared" si="32"/>
        <v>0</v>
      </c>
      <c r="O46" s="134">
        <f t="shared" si="33"/>
        <v>0</v>
      </c>
      <c r="P46" s="178"/>
      <c r="Q46" s="157">
        <f t="shared" si="34"/>
        <v>0</v>
      </c>
      <c r="R46" s="134">
        <f t="shared" si="35"/>
        <v>0</v>
      </c>
      <c r="S46" s="178"/>
      <c r="T46" s="157">
        <f t="shared" si="36"/>
        <v>0</v>
      </c>
      <c r="U46" s="134">
        <f t="shared" si="37"/>
        <v>0</v>
      </c>
    </row>
    <row r="47" spans="1:21" ht="22" x14ac:dyDescent="0.35">
      <c r="A47" s="136">
        <v>7</v>
      </c>
      <c r="B47" s="180">
        <f t="shared" si="25"/>
        <v>651201172</v>
      </c>
      <c r="C47" s="179" t="str">
        <f t="shared" si="25"/>
        <v>นางสาววริสรา สายทอง</v>
      </c>
      <c r="D47" s="178"/>
      <c r="E47" s="157">
        <f t="shared" si="26"/>
        <v>0</v>
      </c>
      <c r="F47" s="134">
        <f t="shared" si="27"/>
        <v>0</v>
      </c>
      <c r="G47" s="178"/>
      <c r="H47" s="157">
        <f t="shared" si="28"/>
        <v>0</v>
      </c>
      <c r="I47" s="134">
        <f t="shared" si="29"/>
        <v>0</v>
      </c>
      <c r="J47" s="178"/>
      <c r="K47" s="157">
        <f t="shared" si="30"/>
        <v>0</v>
      </c>
      <c r="L47" s="134">
        <f t="shared" si="31"/>
        <v>0</v>
      </c>
      <c r="M47" s="178"/>
      <c r="N47" s="157">
        <f t="shared" si="32"/>
        <v>0</v>
      </c>
      <c r="O47" s="134">
        <f t="shared" si="33"/>
        <v>0</v>
      </c>
      <c r="P47" s="178"/>
      <c r="Q47" s="157">
        <f t="shared" si="34"/>
        <v>0</v>
      </c>
      <c r="R47" s="134">
        <f t="shared" si="35"/>
        <v>0</v>
      </c>
      <c r="S47" s="178"/>
      <c r="T47" s="157">
        <f t="shared" si="36"/>
        <v>0</v>
      </c>
      <c r="U47" s="134">
        <f t="shared" si="37"/>
        <v>0</v>
      </c>
    </row>
    <row r="48" spans="1:21" ht="22" x14ac:dyDescent="0.35">
      <c r="A48" s="136">
        <v>8</v>
      </c>
      <c r="B48" s="180">
        <f t="shared" si="25"/>
        <v>651201173</v>
      </c>
      <c r="C48" s="179" t="str">
        <f t="shared" si="25"/>
        <v>นางสาววีรยา ประทุมทอง</v>
      </c>
      <c r="D48" s="178"/>
      <c r="E48" s="157">
        <f t="shared" si="26"/>
        <v>0</v>
      </c>
      <c r="F48" s="134">
        <f t="shared" si="27"/>
        <v>0</v>
      </c>
      <c r="G48" s="178"/>
      <c r="H48" s="157">
        <f t="shared" si="28"/>
        <v>0</v>
      </c>
      <c r="I48" s="134">
        <f t="shared" si="29"/>
        <v>0</v>
      </c>
      <c r="J48" s="178"/>
      <c r="K48" s="157">
        <f t="shared" si="30"/>
        <v>0</v>
      </c>
      <c r="L48" s="134">
        <f t="shared" si="31"/>
        <v>0</v>
      </c>
      <c r="M48" s="178"/>
      <c r="N48" s="157">
        <f t="shared" si="32"/>
        <v>0</v>
      </c>
      <c r="O48" s="134">
        <f t="shared" si="33"/>
        <v>0</v>
      </c>
      <c r="P48" s="178"/>
      <c r="Q48" s="157">
        <f t="shared" si="34"/>
        <v>0</v>
      </c>
      <c r="R48" s="134">
        <f t="shared" si="35"/>
        <v>0</v>
      </c>
      <c r="S48" s="178"/>
      <c r="T48" s="157">
        <f t="shared" si="36"/>
        <v>0</v>
      </c>
      <c r="U48" s="134">
        <f t="shared" si="37"/>
        <v>0</v>
      </c>
    </row>
    <row r="49" spans="1:21" x14ac:dyDescent="0.35">
      <c r="A49" s="136">
        <v>9</v>
      </c>
      <c r="B49" s="180">
        <f t="shared" si="25"/>
        <v>651201174</v>
      </c>
      <c r="C49" s="179" t="str">
        <f t="shared" si="25"/>
        <v>นางสาวศศิธร สุขม่วง</v>
      </c>
      <c r="D49" s="178"/>
      <c r="E49" s="157">
        <f t="shared" si="26"/>
        <v>0</v>
      </c>
      <c r="F49" s="134">
        <f t="shared" si="27"/>
        <v>0</v>
      </c>
      <c r="G49" s="178"/>
      <c r="H49" s="157">
        <f t="shared" si="28"/>
        <v>0</v>
      </c>
      <c r="I49" s="134">
        <f t="shared" si="29"/>
        <v>0</v>
      </c>
      <c r="J49" s="178"/>
      <c r="K49" s="157">
        <f t="shared" si="30"/>
        <v>0</v>
      </c>
      <c r="L49" s="134">
        <f t="shared" si="31"/>
        <v>0</v>
      </c>
      <c r="M49" s="178"/>
      <c r="N49" s="157">
        <f t="shared" si="32"/>
        <v>0</v>
      </c>
      <c r="O49" s="134">
        <f t="shared" si="33"/>
        <v>0</v>
      </c>
      <c r="P49" s="178"/>
      <c r="Q49" s="157">
        <f t="shared" si="34"/>
        <v>0</v>
      </c>
      <c r="R49" s="134">
        <f t="shared" si="35"/>
        <v>0</v>
      </c>
      <c r="S49" s="178"/>
      <c r="T49" s="157">
        <f t="shared" si="36"/>
        <v>0</v>
      </c>
      <c r="U49" s="134">
        <f t="shared" si="37"/>
        <v>0</v>
      </c>
    </row>
    <row r="50" spans="1:21" x14ac:dyDescent="0.35">
      <c r="A50" s="136">
        <v>10</v>
      </c>
      <c r="B50" s="180">
        <f t="shared" si="25"/>
        <v>0</v>
      </c>
      <c r="C50" s="179">
        <f t="shared" si="25"/>
        <v>0</v>
      </c>
      <c r="D50" s="178"/>
      <c r="E50" s="157">
        <f t="shared" si="26"/>
        <v>0</v>
      </c>
      <c r="F50" s="134">
        <f t="shared" si="27"/>
        <v>0</v>
      </c>
      <c r="G50" s="178"/>
      <c r="H50" s="157">
        <f t="shared" si="28"/>
        <v>0</v>
      </c>
      <c r="I50" s="134">
        <f t="shared" si="29"/>
        <v>0</v>
      </c>
      <c r="J50" s="178"/>
      <c r="K50" s="157">
        <f t="shared" si="30"/>
        <v>0</v>
      </c>
      <c r="L50" s="134">
        <f t="shared" si="31"/>
        <v>0</v>
      </c>
      <c r="M50" s="178"/>
      <c r="N50" s="157">
        <f t="shared" si="32"/>
        <v>0</v>
      </c>
      <c r="O50" s="134">
        <f t="shared" si="33"/>
        <v>0</v>
      </c>
      <c r="P50" s="178"/>
      <c r="Q50" s="157">
        <f t="shared" si="34"/>
        <v>0</v>
      </c>
      <c r="R50" s="134">
        <f t="shared" si="35"/>
        <v>0</v>
      </c>
      <c r="S50" s="178"/>
      <c r="T50" s="157">
        <f t="shared" si="36"/>
        <v>0</v>
      </c>
      <c r="U50" s="134">
        <f t="shared" si="37"/>
        <v>0</v>
      </c>
    </row>
    <row r="51" spans="1:21" x14ac:dyDescent="0.35">
      <c r="C51" s="141" t="s">
        <v>13</v>
      </c>
      <c r="D51" s="145" t="e">
        <f>AVERAGE($D$41:$D$50)</f>
        <v>#DIV/0!</v>
      </c>
      <c r="G51" s="145" t="e">
        <f>AVERAGE($G$41:$G$50)</f>
        <v>#DIV/0!</v>
      </c>
      <c r="J51" s="145" t="e">
        <f>AVERAGE($J$41:$J$50)</f>
        <v>#DIV/0!</v>
      </c>
      <c r="M51" s="145" t="e">
        <f>AVERAGE($M$41:$M$50)</f>
        <v>#DIV/0!</v>
      </c>
      <c r="P51" s="145" t="e">
        <f>AVERAGE($P$41:$P$50)</f>
        <v>#DIV/0!</v>
      </c>
      <c r="S51" s="145" t="e">
        <f>AVERAGE($S$41:$S$50)</f>
        <v>#DIV/0!</v>
      </c>
    </row>
    <row r="52" spans="1:21" x14ac:dyDescent="0.35">
      <c r="C52" s="141" t="s">
        <v>14</v>
      </c>
      <c r="D52" s="145" t="e">
        <f>STDEV($D$41:$D$50)</f>
        <v>#DIV/0!</v>
      </c>
      <c r="F52" s="168"/>
      <c r="G52" s="145" t="e">
        <f>STDEV($G$41:$G$50)</f>
        <v>#DIV/0!</v>
      </c>
      <c r="J52" s="145" t="e">
        <f>STDEV($J$41:$J$50)</f>
        <v>#DIV/0!</v>
      </c>
      <c r="M52" s="145" t="e">
        <f>STDEV($M$41:$M$50)</f>
        <v>#DIV/0!</v>
      </c>
      <c r="O52" s="168"/>
      <c r="P52" s="145" t="e">
        <f>STDEV($P$41:$P$50)</f>
        <v>#DIV/0!</v>
      </c>
      <c r="R52" s="168"/>
      <c r="S52" s="145" t="e">
        <f>STDEV($S$41:$S$50)</f>
        <v>#DIV/0!</v>
      </c>
    </row>
    <row r="53" spans="1:21" x14ac:dyDescent="0.35">
      <c r="C53" s="141"/>
      <c r="D53" s="145"/>
      <c r="F53" s="168"/>
      <c r="G53" s="145"/>
      <c r="J53" s="145"/>
      <c r="L53" s="168"/>
      <c r="M53" s="145"/>
      <c r="P53" s="131" t="s">
        <v>2</v>
      </c>
    </row>
    <row r="54" spans="1:21" x14ac:dyDescent="0.35">
      <c r="C54" s="141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</row>
    <row r="55" spans="1:21" ht="18.75" customHeight="1" x14ac:dyDescent="0.35">
      <c r="A55" s="222" t="s">
        <v>5</v>
      </c>
      <c r="B55" s="222" t="s">
        <v>12</v>
      </c>
      <c r="C55" s="222" t="s">
        <v>0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9"/>
      <c r="T55" s="240"/>
      <c r="U55" s="241"/>
    </row>
    <row r="56" spans="1:21" ht="18.75" customHeight="1" x14ac:dyDescent="0.35">
      <c r="A56" s="222"/>
      <c r="B56" s="222"/>
      <c r="C56" s="222"/>
      <c r="D56" s="139" t="s">
        <v>17</v>
      </c>
      <c r="E56" s="139" t="s">
        <v>6</v>
      </c>
      <c r="F56" s="139" t="s">
        <v>3</v>
      </c>
      <c r="G56" s="139" t="s">
        <v>17</v>
      </c>
      <c r="H56" s="139" t="s">
        <v>6</v>
      </c>
      <c r="I56" s="139" t="s">
        <v>3</v>
      </c>
      <c r="J56" s="139" t="s">
        <v>17</v>
      </c>
      <c r="K56" s="139" t="s">
        <v>6</v>
      </c>
      <c r="L56" s="139" t="s">
        <v>3</v>
      </c>
      <c r="M56" s="139" t="s">
        <v>17</v>
      </c>
      <c r="N56" s="139" t="s">
        <v>6</v>
      </c>
      <c r="O56" s="139" t="s">
        <v>3</v>
      </c>
      <c r="P56" s="139" t="s">
        <v>17</v>
      </c>
      <c r="Q56" s="139" t="s">
        <v>6</v>
      </c>
      <c r="R56" s="139" t="s">
        <v>3</v>
      </c>
      <c r="S56" s="139" t="s">
        <v>17</v>
      </c>
      <c r="T56" s="139" t="s">
        <v>6</v>
      </c>
      <c r="U56" s="139" t="s">
        <v>3</v>
      </c>
    </row>
    <row r="57" spans="1:21" x14ac:dyDescent="0.35">
      <c r="A57" s="222"/>
      <c r="B57" s="222"/>
      <c r="C57" s="222"/>
      <c r="D57" s="183"/>
      <c r="E57" s="183"/>
      <c r="F57" s="181">
        <f>$E$57/10</f>
        <v>0</v>
      </c>
      <c r="G57" s="183"/>
      <c r="H57" s="183"/>
      <c r="I57" s="181">
        <f>$H$57/10</f>
        <v>0</v>
      </c>
      <c r="J57" s="183"/>
      <c r="K57" s="183"/>
      <c r="L57" s="181">
        <f>$K$57/10</f>
        <v>0</v>
      </c>
      <c r="M57" s="183"/>
      <c r="N57" s="183"/>
      <c r="O57" s="181">
        <f>$N$57/10</f>
        <v>0</v>
      </c>
      <c r="P57" s="182"/>
      <c r="Q57" s="182"/>
      <c r="R57" s="181">
        <f>$Q$57/10</f>
        <v>0</v>
      </c>
      <c r="S57" s="182"/>
      <c r="T57" s="182"/>
      <c r="U57" s="181">
        <f>$T$57/10</f>
        <v>0</v>
      </c>
    </row>
    <row r="58" spans="1:21" ht="22" x14ac:dyDescent="0.35">
      <c r="A58" s="136">
        <v>1</v>
      </c>
      <c r="B58" s="180">
        <f t="shared" ref="B58:C67" si="38">B8</f>
        <v>651201165</v>
      </c>
      <c r="C58" s="184" t="str">
        <f t="shared" si="38"/>
        <v>นางสาวรักษิณา จวนสาง</v>
      </c>
      <c r="D58" s="178"/>
      <c r="E58" s="157">
        <f t="shared" ref="E58:E67" si="39">IF(D58="-","-",IF(D58=0,0,(D58*$E$57)/$D$57))</f>
        <v>0</v>
      </c>
      <c r="F58" s="134">
        <f t="shared" ref="F58:F67" si="40">IF(D58="-","-",IF(D58=0,0,IF($D$69=0,50,(50+(10*(STANDARDIZE(D58,$D$68,$D$69)))))*$F$57))</f>
        <v>0</v>
      </c>
      <c r="G58" s="178"/>
      <c r="H58" s="157">
        <f t="shared" ref="H58:H67" si="41">IF(G58="-","-",IF(G58=0,0,(G58*$H$57)/$G$57))</f>
        <v>0</v>
      </c>
      <c r="I58" s="134">
        <f t="shared" ref="I58:I67" si="42">IF(G58="-","-",IF(G58=0,0,IF($G$69=0,50,(50+(10*(STANDARDIZE(G58,$G$68,$G$69)))))*$I$57))</f>
        <v>0</v>
      </c>
      <c r="J58" s="178"/>
      <c r="K58" s="157">
        <f t="shared" ref="K58:K67" si="43">IF(J58="-","-",IF(J58=0,0,(J58*$K$57)/$J$57))</f>
        <v>0</v>
      </c>
      <c r="L58" s="134">
        <f t="shared" ref="L58:L67" si="44">IF(J58="-","-",IF(J58=0,0,IF($J$69=0,50,(50+(10*(STANDARDIZE(J58,$J$68,$J$69)))))*$L$57))</f>
        <v>0</v>
      </c>
      <c r="M58" s="178"/>
      <c r="N58" s="157">
        <f t="shared" ref="N58:N67" si="45">IF(M58="-","-",IF(M58=0,0,(M58*$N$40)/$M$40))</f>
        <v>0</v>
      </c>
      <c r="O58" s="134">
        <f t="shared" ref="O58:O67" si="46">IF(M58="-","-",IF(M58=0,0,IF($M$69=0,50,(50+(10*(STANDARDIZE(M58,$M$68,$M$69)))))*$O$57))</f>
        <v>0</v>
      </c>
      <c r="P58" s="178"/>
      <c r="Q58" s="157">
        <f t="shared" ref="Q58:Q67" si="47">IF(P58="-","-",IF(P58=0,0,(P58*$Q$57)/$P$57))</f>
        <v>0</v>
      </c>
      <c r="R58" s="134">
        <f t="shared" ref="R58:R67" si="48">IF(P58="-","-",IF(P58=0,0,IF($P$69=0,50,(50+(10*(STANDARDIZE(P58,$P$68,$P$69)))))*$R$57))</f>
        <v>0</v>
      </c>
      <c r="S58" s="178"/>
      <c r="T58" s="157">
        <f t="shared" ref="T58:T67" si="49">IF(S58="-","-",IF(S58=0,0,(S58*$T$57)/$S$57))</f>
        <v>0</v>
      </c>
      <c r="U58" s="134">
        <f t="shared" ref="U58:U67" si="50">IF(S58="-","-",IF(S58=0,0,IF($S$69=0,50,(50+(10*(STANDARDIZE(S58,$S$68,$S$69)))))*$U$57))</f>
        <v>0</v>
      </c>
    </row>
    <row r="59" spans="1:21" ht="22" x14ac:dyDescent="0.35">
      <c r="A59" s="136">
        <v>2</v>
      </c>
      <c r="B59" s="180">
        <f t="shared" si="38"/>
        <v>651201166</v>
      </c>
      <c r="C59" s="184" t="str">
        <f t="shared" si="38"/>
        <v>นางสาวรัตนา แก้วอาษา</v>
      </c>
      <c r="D59" s="178"/>
      <c r="E59" s="157">
        <f t="shared" si="39"/>
        <v>0</v>
      </c>
      <c r="F59" s="134">
        <f t="shared" si="40"/>
        <v>0</v>
      </c>
      <c r="G59" s="178"/>
      <c r="H59" s="157">
        <f t="shared" si="41"/>
        <v>0</v>
      </c>
      <c r="I59" s="134">
        <f t="shared" si="42"/>
        <v>0</v>
      </c>
      <c r="J59" s="178"/>
      <c r="K59" s="157">
        <f t="shared" si="43"/>
        <v>0</v>
      </c>
      <c r="L59" s="134">
        <f t="shared" si="44"/>
        <v>0</v>
      </c>
      <c r="M59" s="178"/>
      <c r="N59" s="157">
        <f t="shared" si="45"/>
        <v>0</v>
      </c>
      <c r="O59" s="134">
        <f t="shared" si="46"/>
        <v>0</v>
      </c>
      <c r="P59" s="178"/>
      <c r="Q59" s="157">
        <f t="shared" si="47"/>
        <v>0</v>
      </c>
      <c r="R59" s="134">
        <f t="shared" si="48"/>
        <v>0</v>
      </c>
      <c r="S59" s="178"/>
      <c r="T59" s="157">
        <f t="shared" si="49"/>
        <v>0</v>
      </c>
      <c r="U59" s="134">
        <f t="shared" si="50"/>
        <v>0</v>
      </c>
    </row>
    <row r="60" spans="1:21" ht="22" x14ac:dyDescent="0.35">
      <c r="A60" s="136">
        <v>3</v>
      </c>
      <c r="B60" s="180">
        <f t="shared" si="38"/>
        <v>651201167</v>
      </c>
      <c r="C60" s="184" t="str">
        <f t="shared" si="38"/>
        <v>นางสาวลลิตา กุลเทียนประดิษฐ์</v>
      </c>
      <c r="D60" s="178"/>
      <c r="E60" s="157">
        <f t="shared" si="39"/>
        <v>0</v>
      </c>
      <c r="F60" s="134">
        <f t="shared" si="40"/>
        <v>0</v>
      </c>
      <c r="G60" s="178"/>
      <c r="H60" s="157">
        <f t="shared" si="41"/>
        <v>0</v>
      </c>
      <c r="I60" s="134">
        <f t="shared" si="42"/>
        <v>0</v>
      </c>
      <c r="J60" s="178"/>
      <c r="K60" s="157">
        <f t="shared" si="43"/>
        <v>0</v>
      </c>
      <c r="L60" s="134">
        <f t="shared" si="44"/>
        <v>0</v>
      </c>
      <c r="M60" s="178"/>
      <c r="N60" s="157">
        <f t="shared" si="45"/>
        <v>0</v>
      </c>
      <c r="O60" s="134">
        <f t="shared" si="46"/>
        <v>0</v>
      </c>
      <c r="P60" s="178"/>
      <c r="Q60" s="157">
        <f t="shared" si="47"/>
        <v>0</v>
      </c>
      <c r="R60" s="134">
        <f t="shared" si="48"/>
        <v>0</v>
      </c>
      <c r="S60" s="178"/>
      <c r="T60" s="157">
        <f t="shared" si="49"/>
        <v>0</v>
      </c>
      <c r="U60" s="134">
        <f t="shared" si="50"/>
        <v>0</v>
      </c>
    </row>
    <row r="61" spans="1:21" ht="22" x14ac:dyDescent="0.35">
      <c r="A61" s="136">
        <v>4</v>
      </c>
      <c r="B61" s="180">
        <f t="shared" si="38"/>
        <v>651201169</v>
      </c>
      <c r="C61" s="184" t="str">
        <f t="shared" si="38"/>
        <v>นายวรปรัชญ์ ปัดไธสง</v>
      </c>
      <c r="D61" s="178"/>
      <c r="E61" s="157">
        <f t="shared" si="39"/>
        <v>0</v>
      </c>
      <c r="F61" s="134">
        <f t="shared" si="40"/>
        <v>0</v>
      </c>
      <c r="G61" s="178"/>
      <c r="H61" s="157">
        <f t="shared" si="41"/>
        <v>0</v>
      </c>
      <c r="I61" s="134">
        <f t="shared" si="42"/>
        <v>0</v>
      </c>
      <c r="J61" s="178"/>
      <c r="K61" s="157">
        <f t="shared" si="43"/>
        <v>0</v>
      </c>
      <c r="L61" s="134">
        <f t="shared" si="44"/>
        <v>0</v>
      </c>
      <c r="M61" s="178"/>
      <c r="N61" s="157">
        <f t="shared" si="45"/>
        <v>0</v>
      </c>
      <c r="O61" s="134">
        <f t="shared" si="46"/>
        <v>0</v>
      </c>
      <c r="P61" s="178"/>
      <c r="Q61" s="157">
        <f t="shared" si="47"/>
        <v>0</v>
      </c>
      <c r="R61" s="134">
        <f t="shared" si="48"/>
        <v>0</v>
      </c>
      <c r="S61" s="178"/>
      <c r="T61" s="157">
        <f t="shared" si="49"/>
        <v>0</v>
      </c>
      <c r="U61" s="134">
        <f t="shared" si="50"/>
        <v>0</v>
      </c>
    </row>
    <row r="62" spans="1:21" ht="22" x14ac:dyDescent="0.35">
      <c r="A62" s="136">
        <v>5</v>
      </c>
      <c r="B62" s="180">
        <f t="shared" si="38"/>
        <v>651201170</v>
      </c>
      <c r="C62" s="184" t="str">
        <f t="shared" si="38"/>
        <v>นายวรเมธ สีดำ</v>
      </c>
      <c r="D62" s="178"/>
      <c r="E62" s="157">
        <f t="shared" si="39"/>
        <v>0</v>
      </c>
      <c r="F62" s="134">
        <f t="shared" si="40"/>
        <v>0</v>
      </c>
      <c r="G62" s="178"/>
      <c r="H62" s="157">
        <f t="shared" si="41"/>
        <v>0</v>
      </c>
      <c r="I62" s="134">
        <f t="shared" si="42"/>
        <v>0</v>
      </c>
      <c r="J62" s="178"/>
      <c r="K62" s="157">
        <f t="shared" si="43"/>
        <v>0</v>
      </c>
      <c r="L62" s="134">
        <f t="shared" si="44"/>
        <v>0</v>
      </c>
      <c r="M62" s="178"/>
      <c r="N62" s="157">
        <f t="shared" si="45"/>
        <v>0</v>
      </c>
      <c r="O62" s="134">
        <f t="shared" si="46"/>
        <v>0</v>
      </c>
      <c r="P62" s="178"/>
      <c r="Q62" s="157">
        <f t="shared" si="47"/>
        <v>0</v>
      </c>
      <c r="R62" s="134">
        <f t="shared" si="48"/>
        <v>0</v>
      </c>
      <c r="S62" s="178"/>
      <c r="T62" s="157">
        <f t="shared" si="49"/>
        <v>0</v>
      </c>
      <c r="U62" s="134">
        <f t="shared" si="50"/>
        <v>0</v>
      </c>
    </row>
    <row r="63" spans="1:21" ht="22" x14ac:dyDescent="0.35">
      <c r="A63" s="136">
        <v>6</v>
      </c>
      <c r="B63" s="180">
        <f t="shared" si="38"/>
        <v>651201171</v>
      </c>
      <c r="C63" s="184" t="str">
        <f t="shared" si="38"/>
        <v>นายวรากร ก้อมมะณี</v>
      </c>
      <c r="D63" s="178"/>
      <c r="E63" s="157">
        <f t="shared" si="39"/>
        <v>0</v>
      </c>
      <c r="F63" s="134">
        <f t="shared" si="40"/>
        <v>0</v>
      </c>
      <c r="G63" s="178"/>
      <c r="H63" s="157">
        <f t="shared" si="41"/>
        <v>0</v>
      </c>
      <c r="I63" s="134">
        <f t="shared" si="42"/>
        <v>0</v>
      </c>
      <c r="J63" s="178"/>
      <c r="K63" s="157">
        <f t="shared" si="43"/>
        <v>0</v>
      </c>
      <c r="L63" s="134">
        <f t="shared" si="44"/>
        <v>0</v>
      </c>
      <c r="M63" s="178"/>
      <c r="N63" s="157">
        <f t="shared" si="45"/>
        <v>0</v>
      </c>
      <c r="O63" s="134">
        <f t="shared" si="46"/>
        <v>0</v>
      </c>
      <c r="P63" s="178"/>
      <c r="Q63" s="157">
        <f t="shared" si="47"/>
        <v>0</v>
      </c>
      <c r="R63" s="134">
        <f t="shared" si="48"/>
        <v>0</v>
      </c>
      <c r="S63" s="178"/>
      <c r="T63" s="157">
        <f t="shared" si="49"/>
        <v>0</v>
      </c>
      <c r="U63" s="134">
        <f t="shared" si="50"/>
        <v>0</v>
      </c>
    </row>
    <row r="64" spans="1:21" ht="22" x14ac:dyDescent="0.35">
      <c r="A64" s="136">
        <v>7</v>
      </c>
      <c r="B64" s="180">
        <f t="shared" si="38"/>
        <v>651201172</v>
      </c>
      <c r="C64" s="184" t="str">
        <f t="shared" si="38"/>
        <v>นางสาววริสรา สายทอง</v>
      </c>
      <c r="D64" s="178"/>
      <c r="E64" s="157">
        <f t="shared" si="39"/>
        <v>0</v>
      </c>
      <c r="F64" s="134">
        <f t="shared" si="40"/>
        <v>0</v>
      </c>
      <c r="G64" s="178"/>
      <c r="H64" s="157">
        <f t="shared" si="41"/>
        <v>0</v>
      </c>
      <c r="I64" s="134">
        <f t="shared" si="42"/>
        <v>0</v>
      </c>
      <c r="J64" s="178"/>
      <c r="K64" s="157">
        <f t="shared" si="43"/>
        <v>0</v>
      </c>
      <c r="L64" s="134">
        <f t="shared" si="44"/>
        <v>0</v>
      </c>
      <c r="M64" s="178"/>
      <c r="N64" s="157">
        <f t="shared" si="45"/>
        <v>0</v>
      </c>
      <c r="O64" s="134">
        <f t="shared" si="46"/>
        <v>0</v>
      </c>
      <c r="P64" s="178"/>
      <c r="Q64" s="157">
        <f t="shared" si="47"/>
        <v>0</v>
      </c>
      <c r="R64" s="134">
        <f t="shared" si="48"/>
        <v>0</v>
      </c>
      <c r="S64" s="178"/>
      <c r="T64" s="157">
        <f t="shared" si="49"/>
        <v>0</v>
      </c>
      <c r="U64" s="134">
        <f t="shared" si="50"/>
        <v>0</v>
      </c>
    </row>
    <row r="65" spans="1:21" ht="22" x14ac:dyDescent="0.35">
      <c r="A65" s="136">
        <v>8</v>
      </c>
      <c r="B65" s="180">
        <f t="shared" si="38"/>
        <v>651201173</v>
      </c>
      <c r="C65" s="184" t="str">
        <f t="shared" si="38"/>
        <v>นางสาววีรยา ประทุมทอง</v>
      </c>
      <c r="D65" s="178"/>
      <c r="E65" s="157">
        <f t="shared" si="39"/>
        <v>0</v>
      </c>
      <c r="F65" s="134">
        <f t="shared" si="40"/>
        <v>0</v>
      </c>
      <c r="G65" s="178"/>
      <c r="H65" s="157">
        <f t="shared" si="41"/>
        <v>0</v>
      </c>
      <c r="I65" s="134">
        <f t="shared" si="42"/>
        <v>0</v>
      </c>
      <c r="J65" s="178"/>
      <c r="K65" s="157">
        <f t="shared" si="43"/>
        <v>0</v>
      </c>
      <c r="L65" s="134">
        <f t="shared" si="44"/>
        <v>0</v>
      </c>
      <c r="M65" s="178"/>
      <c r="N65" s="157">
        <f t="shared" si="45"/>
        <v>0</v>
      </c>
      <c r="O65" s="134">
        <f t="shared" si="46"/>
        <v>0</v>
      </c>
      <c r="P65" s="178"/>
      <c r="Q65" s="157">
        <f t="shared" si="47"/>
        <v>0</v>
      </c>
      <c r="R65" s="134">
        <f t="shared" si="48"/>
        <v>0</v>
      </c>
      <c r="S65" s="178"/>
      <c r="T65" s="157">
        <f t="shared" si="49"/>
        <v>0</v>
      </c>
      <c r="U65" s="134">
        <f t="shared" si="50"/>
        <v>0</v>
      </c>
    </row>
    <row r="66" spans="1:21" x14ac:dyDescent="0.35">
      <c r="A66" s="136">
        <v>9</v>
      </c>
      <c r="B66" s="180">
        <f t="shared" si="38"/>
        <v>651201174</v>
      </c>
      <c r="C66" s="184" t="str">
        <f t="shared" si="38"/>
        <v>นางสาวศศิธร สุขม่วง</v>
      </c>
      <c r="D66" s="178"/>
      <c r="E66" s="157">
        <f t="shared" si="39"/>
        <v>0</v>
      </c>
      <c r="F66" s="134">
        <f t="shared" si="40"/>
        <v>0</v>
      </c>
      <c r="G66" s="178"/>
      <c r="H66" s="157">
        <f t="shared" si="41"/>
        <v>0</v>
      </c>
      <c r="I66" s="134">
        <f t="shared" si="42"/>
        <v>0</v>
      </c>
      <c r="J66" s="178"/>
      <c r="K66" s="157">
        <f t="shared" si="43"/>
        <v>0</v>
      </c>
      <c r="L66" s="134">
        <f t="shared" si="44"/>
        <v>0</v>
      </c>
      <c r="M66" s="178"/>
      <c r="N66" s="157">
        <f t="shared" si="45"/>
        <v>0</v>
      </c>
      <c r="O66" s="134">
        <f t="shared" si="46"/>
        <v>0</v>
      </c>
      <c r="P66" s="178"/>
      <c r="Q66" s="157">
        <f t="shared" si="47"/>
        <v>0</v>
      </c>
      <c r="R66" s="134">
        <f t="shared" si="48"/>
        <v>0</v>
      </c>
      <c r="S66" s="178"/>
      <c r="T66" s="157">
        <f t="shared" si="49"/>
        <v>0</v>
      </c>
      <c r="U66" s="134">
        <f t="shared" si="50"/>
        <v>0</v>
      </c>
    </row>
    <row r="67" spans="1:21" x14ac:dyDescent="0.35">
      <c r="A67" s="136">
        <v>10</v>
      </c>
      <c r="B67" s="180">
        <f t="shared" si="38"/>
        <v>0</v>
      </c>
      <c r="C67" s="184">
        <f t="shared" si="38"/>
        <v>0</v>
      </c>
      <c r="D67" s="178"/>
      <c r="E67" s="157">
        <f t="shared" si="39"/>
        <v>0</v>
      </c>
      <c r="F67" s="134">
        <f t="shared" si="40"/>
        <v>0</v>
      </c>
      <c r="G67" s="178"/>
      <c r="H67" s="157">
        <f t="shared" si="41"/>
        <v>0</v>
      </c>
      <c r="I67" s="134">
        <f t="shared" si="42"/>
        <v>0</v>
      </c>
      <c r="J67" s="178"/>
      <c r="K67" s="157">
        <f t="shared" si="43"/>
        <v>0</v>
      </c>
      <c r="L67" s="134">
        <f t="shared" si="44"/>
        <v>0</v>
      </c>
      <c r="M67" s="178"/>
      <c r="N67" s="157">
        <f t="shared" si="45"/>
        <v>0</v>
      </c>
      <c r="O67" s="134">
        <f t="shared" si="46"/>
        <v>0</v>
      </c>
      <c r="P67" s="178"/>
      <c r="Q67" s="157">
        <f t="shared" si="47"/>
        <v>0</v>
      </c>
      <c r="R67" s="134">
        <f t="shared" si="48"/>
        <v>0</v>
      </c>
      <c r="S67" s="178"/>
      <c r="T67" s="157">
        <f t="shared" si="49"/>
        <v>0</v>
      </c>
      <c r="U67" s="134">
        <f t="shared" si="50"/>
        <v>0</v>
      </c>
    </row>
    <row r="68" spans="1:21" x14ac:dyDescent="0.35">
      <c r="C68" s="141" t="s">
        <v>13</v>
      </c>
      <c r="D68" s="145" t="e">
        <f>AVERAGE($D$58:$D$67)</f>
        <v>#DIV/0!</v>
      </c>
      <c r="G68" s="145" t="e">
        <f>AVERAGE($G$58:$G$67)</f>
        <v>#DIV/0!</v>
      </c>
      <c r="J68" s="145" t="e">
        <f>AVERAGE($J$58:$J$67)</f>
        <v>#DIV/0!</v>
      </c>
      <c r="M68" s="145" t="e">
        <f>AVERAGE($M$58:$M$67)</f>
        <v>#DIV/0!</v>
      </c>
      <c r="P68" s="145" t="e">
        <f>AVERAGE($P$58:$P$67)</f>
        <v>#DIV/0!</v>
      </c>
      <c r="S68" s="145" t="e">
        <f>AVERAGE($S$58:$S$67)</f>
        <v>#DIV/0!</v>
      </c>
    </row>
    <row r="69" spans="1:21" x14ac:dyDescent="0.35">
      <c r="C69" s="141" t="s">
        <v>14</v>
      </c>
      <c r="D69" s="145" t="e">
        <f>STDEV($D$58:$D$67)</f>
        <v>#DIV/0!</v>
      </c>
      <c r="F69" s="168"/>
      <c r="G69" s="145" t="e">
        <f>STDEV($G$58:$G$67)</f>
        <v>#DIV/0!</v>
      </c>
      <c r="J69" s="145" t="e">
        <f>STDEV($J$58:$J$67)</f>
        <v>#DIV/0!</v>
      </c>
      <c r="M69" s="145" t="e">
        <f>STDEV($M$41:$M$50)</f>
        <v>#DIV/0!</v>
      </c>
      <c r="O69" s="168"/>
      <c r="P69" s="145" t="e">
        <f>STDEV($P$58:$P$67)</f>
        <v>#DIV/0!</v>
      </c>
      <c r="R69" s="168"/>
      <c r="S69" s="145" t="e">
        <f>STDEV($S$58:$S$67)</f>
        <v>#DIV/0!</v>
      </c>
    </row>
    <row r="70" spans="1:21" x14ac:dyDescent="0.35">
      <c r="C70" s="141"/>
      <c r="D70" s="145"/>
      <c r="F70" s="168"/>
      <c r="G70" s="145"/>
      <c r="J70" s="145"/>
      <c r="L70" s="168"/>
      <c r="M70" s="145"/>
    </row>
    <row r="71" spans="1:21" x14ac:dyDescent="0.35">
      <c r="C71" s="141"/>
      <c r="D71" s="145"/>
      <c r="F71" s="168"/>
      <c r="G71" s="145"/>
      <c r="J71" s="145"/>
      <c r="L71" s="168"/>
      <c r="M71" s="145"/>
    </row>
    <row r="72" spans="1:21" x14ac:dyDescent="0.35">
      <c r="A72" s="222" t="s">
        <v>5</v>
      </c>
      <c r="B72" s="222" t="s">
        <v>12</v>
      </c>
      <c r="C72" s="222" t="s">
        <v>0</v>
      </c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42"/>
      <c r="T72" s="243"/>
      <c r="U72" s="244"/>
    </row>
    <row r="73" spans="1:21" x14ac:dyDescent="0.35">
      <c r="A73" s="222"/>
      <c r="B73" s="222"/>
      <c r="C73" s="222"/>
      <c r="D73" s="139" t="s">
        <v>17</v>
      </c>
      <c r="E73" s="139" t="s">
        <v>6</v>
      </c>
      <c r="F73" s="139" t="s">
        <v>3</v>
      </c>
      <c r="G73" s="139" t="s">
        <v>17</v>
      </c>
      <c r="H73" s="139" t="s">
        <v>6</v>
      </c>
      <c r="I73" s="139" t="s">
        <v>3</v>
      </c>
      <c r="J73" s="139" t="s">
        <v>17</v>
      </c>
      <c r="K73" s="139" t="s">
        <v>6</v>
      </c>
      <c r="L73" s="139" t="s">
        <v>3</v>
      </c>
      <c r="M73" s="139" t="s">
        <v>17</v>
      </c>
      <c r="N73" s="139" t="s">
        <v>6</v>
      </c>
      <c r="O73" s="139" t="s">
        <v>3</v>
      </c>
      <c r="P73" s="139" t="s">
        <v>17</v>
      </c>
      <c r="Q73" s="139" t="s">
        <v>6</v>
      </c>
      <c r="R73" s="139" t="s">
        <v>3</v>
      </c>
      <c r="S73" s="139" t="s">
        <v>17</v>
      </c>
      <c r="T73" s="139" t="s">
        <v>6</v>
      </c>
      <c r="U73" s="139" t="s">
        <v>3</v>
      </c>
    </row>
    <row r="74" spans="1:21" x14ac:dyDescent="0.35">
      <c r="A74" s="222"/>
      <c r="B74" s="222"/>
      <c r="C74" s="222"/>
      <c r="D74" s="183"/>
      <c r="E74" s="183"/>
      <c r="F74" s="181">
        <f>$E$74/10</f>
        <v>0</v>
      </c>
      <c r="G74" s="183"/>
      <c r="H74" s="183"/>
      <c r="I74" s="181">
        <f>$H$74/10</f>
        <v>0</v>
      </c>
      <c r="J74" s="183"/>
      <c r="K74" s="183"/>
      <c r="L74" s="181">
        <f>$K$74/10</f>
        <v>0</v>
      </c>
      <c r="M74" s="183"/>
      <c r="N74" s="183"/>
      <c r="O74" s="181">
        <f>$N$74/10</f>
        <v>0</v>
      </c>
      <c r="P74" s="182"/>
      <c r="Q74" s="182"/>
      <c r="R74" s="181">
        <f>$Q$74/10</f>
        <v>0</v>
      </c>
      <c r="S74" s="182"/>
      <c r="T74" s="182"/>
      <c r="U74" s="181">
        <f>$T$74/10</f>
        <v>0</v>
      </c>
    </row>
    <row r="75" spans="1:21" ht="22" x14ac:dyDescent="0.35">
      <c r="A75" s="136">
        <f t="shared" ref="A75:C84" si="51">A8</f>
        <v>1</v>
      </c>
      <c r="B75" s="180">
        <f t="shared" si="51"/>
        <v>651201165</v>
      </c>
      <c r="C75" s="179" t="str">
        <f t="shared" si="51"/>
        <v>นางสาวรักษิณา จวนสาง</v>
      </c>
      <c r="D75" s="178"/>
      <c r="E75" s="157">
        <f t="shared" ref="E75:E84" si="52">IF(D75="-","-",IF(D75=0,0,(D75*E$74)/D$74))</f>
        <v>0</v>
      </c>
      <c r="F75" s="134">
        <f t="shared" ref="F75:F84" si="53">IF(D75="-","-",IF(D75=0,0,IF(D$86=0,50,(50+(10*(STANDARDIZE(D75,D$85,D$86)))))*F$74))</f>
        <v>0</v>
      </c>
      <c r="G75" s="178"/>
      <c r="H75" s="157">
        <f t="shared" ref="H75:H84" si="54">IF(G75="-","-",IF(G75=0,0,(G75*H$74)/G$74))</f>
        <v>0</v>
      </c>
      <c r="I75" s="134">
        <f t="shared" ref="I75:I84" si="55">IF(G75="-","-",IF(G75=0,0,IF($G$86=0,50,(50+(10*(STANDARDIZE(G75,G$85,G$86)))))*I$74))</f>
        <v>0</v>
      </c>
      <c r="J75" s="178"/>
      <c r="K75" s="157">
        <f t="shared" ref="K75:K84" si="56">IF(J75="-","-",IF(J75=0,0,(J75*K$74)/J$74))</f>
        <v>0</v>
      </c>
      <c r="L75" s="134">
        <f t="shared" ref="L75:L84" si="57">IF(J75="-","-",IF(J75=0,0,IF(J$86=0,50,(50+(10*(STANDARDIZE(J75,J$85,J$86)))))*L$74))</f>
        <v>0</v>
      </c>
      <c r="M75" s="178"/>
      <c r="N75" s="157">
        <f t="shared" ref="N75:N84" si="58">IF(M75="-","-",IF(M75=0,0,(M75*N$74)/M$74))</f>
        <v>0</v>
      </c>
      <c r="O75" s="134">
        <f t="shared" ref="O75:O84" si="59">IF(M75="-","-",IF(M75=0,0,IF(M$86=0,50,(50+(10*(STANDARDIZE(M75,M$85,M$86)))))*O$74))</f>
        <v>0</v>
      </c>
      <c r="P75" s="178"/>
      <c r="Q75" s="157">
        <f t="shared" ref="Q75:Q84" si="60">IF(P75="-","-",IF(P75=0,0,(P75*Q$74)/P$74))</f>
        <v>0</v>
      </c>
      <c r="R75" s="134">
        <f t="shared" ref="R75:R84" si="61">IF(P75="-","-",IF(P75=0,0,IF(P$86=0,50,(50+(10*(STANDARDIZE(P75,P$85,P$86)))))*R$74))</f>
        <v>0</v>
      </c>
      <c r="S75" s="178"/>
      <c r="T75" s="157">
        <f t="shared" ref="T75:T84" si="62">IF(S75="-","-",IF(S75=0,0,(S75*T$74)/S$74))</f>
        <v>0</v>
      </c>
      <c r="U75" s="134">
        <f t="shared" ref="U75:U84" si="63">IF(S75="-","-",IF(S75=0,0,IF(S$86=0,50,(50+(10*(STANDARDIZE(S75,S$85,S$86)))))*U$74))</f>
        <v>0</v>
      </c>
    </row>
    <row r="76" spans="1:21" ht="22" x14ac:dyDescent="0.35">
      <c r="A76" s="136">
        <f t="shared" si="51"/>
        <v>2</v>
      </c>
      <c r="B76" s="180">
        <f t="shared" si="51"/>
        <v>651201166</v>
      </c>
      <c r="C76" s="179" t="str">
        <f t="shared" si="51"/>
        <v>นางสาวรัตนา แก้วอาษา</v>
      </c>
      <c r="D76" s="178"/>
      <c r="E76" s="157">
        <f t="shared" si="52"/>
        <v>0</v>
      </c>
      <c r="F76" s="134">
        <f t="shared" si="53"/>
        <v>0</v>
      </c>
      <c r="G76" s="178"/>
      <c r="H76" s="157">
        <f t="shared" si="54"/>
        <v>0</v>
      </c>
      <c r="I76" s="134">
        <f t="shared" si="55"/>
        <v>0</v>
      </c>
      <c r="J76" s="178"/>
      <c r="K76" s="157">
        <f t="shared" si="56"/>
        <v>0</v>
      </c>
      <c r="L76" s="134">
        <f t="shared" si="57"/>
        <v>0</v>
      </c>
      <c r="M76" s="178"/>
      <c r="N76" s="157">
        <f t="shared" si="58"/>
        <v>0</v>
      </c>
      <c r="O76" s="134">
        <f t="shared" si="59"/>
        <v>0</v>
      </c>
      <c r="P76" s="178"/>
      <c r="Q76" s="157">
        <f t="shared" si="60"/>
        <v>0</v>
      </c>
      <c r="R76" s="134">
        <f t="shared" si="61"/>
        <v>0</v>
      </c>
      <c r="S76" s="178"/>
      <c r="T76" s="157">
        <f t="shared" si="62"/>
        <v>0</v>
      </c>
      <c r="U76" s="134">
        <f t="shared" si="63"/>
        <v>0</v>
      </c>
    </row>
    <row r="77" spans="1:21" ht="22" x14ac:dyDescent="0.35">
      <c r="A77" s="136">
        <f t="shared" si="51"/>
        <v>3</v>
      </c>
      <c r="B77" s="180">
        <f t="shared" si="51"/>
        <v>651201167</v>
      </c>
      <c r="C77" s="179" t="str">
        <f t="shared" si="51"/>
        <v>นางสาวลลิตา กุลเทียนประดิษฐ์</v>
      </c>
      <c r="D77" s="178"/>
      <c r="E77" s="157">
        <f t="shared" si="52"/>
        <v>0</v>
      </c>
      <c r="F77" s="134">
        <f t="shared" si="53"/>
        <v>0</v>
      </c>
      <c r="G77" s="178"/>
      <c r="H77" s="157">
        <f t="shared" si="54"/>
        <v>0</v>
      </c>
      <c r="I77" s="134">
        <f t="shared" si="55"/>
        <v>0</v>
      </c>
      <c r="J77" s="178"/>
      <c r="K77" s="157">
        <f t="shared" si="56"/>
        <v>0</v>
      </c>
      <c r="L77" s="134">
        <f t="shared" si="57"/>
        <v>0</v>
      </c>
      <c r="M77" s="178"/>
      <c r="N77" s="157">
        <f t="shared" si="58"/>
        <v>0</v>
      </c>
      <c r="O77" s="134">
        <f t="shared" si="59"/>
        <v>0</v>
      </c>
      <c r="P77" s="178"/>
      <c r="Q77" s="157">
        <f t="shared" si="60"/>
        <v>0</v>
      </c>
      <c r="R77" s="134">
        <f t="shared" si="61"/>
        <v>0</v>
      </c>
      <c r="S77" s="178"/>
      <c r="T77" s="157">
        <f t="shared" si="62"/>
        <v>0</v>
      </c>
      <c r="U77" s="134">
        <f t="shared" si="63"/>
        <v>0</v>
      </c>
    </row>
    <row r="78" spans="1:21" ht="22" x14ac:dyDescent="0.35">
      <c r="A78" s="136">
        <f t="shared" si="51"/>
        <v>4</v>
      </c>
      <c r="B78" s="180">
        <f t="shared" si="51"/>
        <v>651201169</v>
      </c>
      <c r="C78" s="179" t="str">
        <f t="shared" si="51"/>
        <v>นายวรปรัชญ์ ปัดไธสง</v>
      </c>
      <c r="D78" s="178"/>
      <c r="E78" s="157">
        <f t="shared" si="52"/>
        <v>0</v>
      </c>
      <c r="F78" s="134">
        <f t="shared" si="53"/>
        <v>0</v>
      </c>
      <c r="G78" s="178"/>
      <c r="H78" s="157">
        <f t="shared" si="54"/>
        <v>0</v>
      </c>
      <c r="I78" s="134">
        <f t="shared" si="55"/>
        <v>0</v>
      </c>
      <c r="J78" s="178"/>
      <c r="K78" s="157">
        <f t="shared" si="56"/>
        <v>0</v>
      </c>
      <c r="L78" s="134">
        <f t="shared" si="57"/>
        <v>0</v>
      </c>
      <c r="M78" s="178"/>
      <c r="N78" s="157">
        <f t="shared" si="58"/>
        <v>0</v>
      </c>
      <c r="O78" s="134">
        <f t="shared" si="59"/>
        <v>0</v>
      </c>
      <c r="P78" s="178"/>
      <c r="Q78" s="157">
        <f t="shared" si="60"/>
        <v>0</v>
      </c>
      <c r="R78" s="134">
        <f t="shared" si="61"/>
        <v>0</v>
      </c>
      <c r="S78" s="178"/>
      <c r="T78" s="157">
        <f t="shared" si="62"/>
        <v>0</v>
      </c>
      <c r="U78" s="134">
        <f t="shared" si="63"/>
        <v>0</v>
      </c>
    </row>
    <row r="79" spans="1:21" ht="22" x14ac:dyDescent="0.35">
      <c r="A79" s="136">
        <f t="shared" si="51"/>
        <v>5</v>
      </c>
      <c r="B79" s="180">
        <f t="shared" si="51"/>
        <v>651201170</v>
      </c>
      <c r="C79" s="179" t="str">
        <f t="shared" si="51"/>
        <v>นายวรเมธ สีดำ</v>
      </c>
      <c r="D79" s="178"/>
      <c r="E79" s="157">
        <f t="shared" si="52"/>
        <v>0</v>
      </c>
      <c r="F79" s="134">
        <f t="shared" si="53"/>
        <v>0</v>
      </c>
      <c r="G79" s="178"/>
      <c r="H79" s="157">
        <f t="shared" si="54"/>
        <v>0</v>
      </c>
      <c r="I79" s="134">
        <f t="shared" si="55"/>
        <v>0</v>
      </c>
      <c r="J79" s="178"/>
      <c r="K79" s="157">
        <f t="shared" si="56"/>
        <v>0</v>
      </c>
      <c r="L79" s="134">
        <f t="shared" si="57"/>
        <v>0</v>
      </c>
      <c r="M79" s="178"/>
      <c r="N79" s="157">
        <f t="shared" si="58"/>
        <v>0</v>
      </c>
      <c r="O79" s="134">
        <f t="shared" si="59"/>
        <v>0</v>
      </c>
      <c r="P79" s="178"/>
      <c r="Q79" s="157">
        <f t="shared" si="60"/>
        <v>0</v>
      </c>
      <c r="R79" s="134">
        <f t="shared" si="61"/>
        <v>0</v>
      </c>
      <c r="S79" s="178"/>
      <c r="T79" s="157">
        <f t="shared" si="62"/>
        <v>0</v>
      </c>
      <c r="U79" s="134">
        <f t="shared" si="63"/>
        <v>0</v>
      </c>
    </row>
    <row r="80" spans="1:21" ht="22" x14ac:dyDescent="0.35">
      <c r="A80" s="136">
        <f t="shared" si="51"/>
        <v>6</v>
      </c>
      <c r="B80" s="180">
        <f t="shared" si="51"/>
        <v>651201171</v>
      </c>
      <c r="C80" s="179" t="str">
        <f t="shared" si="51"/>
        <v>นายวรากร ก้อมมะณี</v>
      </c>
      <c r="D80" s="178"/>
      <c r="E80" s="157">
        <f t="shared" si="52"/>
        <v>0</v>
      </c>
      <c r="F80" s="134">
        <f t="shared" si="53"/>
        <v>0</v>
      </c>
      <c r="G80" s="178"/>
      <c r="H80" s="157">
        <f t="shared" si="54"/>
        <v>0</v>
      </c>
      <c r="I80" s="134">
        <f t="shared" si="55"/>
        <v>0</v>
      </c>
      <c r="J80" s="178"/>
      <c r="K80" s="157">
        <f t="shared" si="56"/>
        <v>0</v>
      </c>
      <c r="L80" s="134">
        <f t="shared" si="57"/>
        <v>0</v>
      </c>
      <c r="M80" s="178"/>
      <c r="N80" s="157">
        <f t="shared" si="58"/>
        <v>0</v>
      </c>
      <c r="O80" s="134">
        <f t="shared" si="59"/>
        <v>0</v>
      </c>
      <c r="P80" s="178"/>
      <c r="Q80" s="157">
        <f t="shared" si="60"/>
        <v>0</v>
      </c>
      <c r="R80" s="134">
        <f t="shared" si="61"/>
        <v>0</v>
      </c>
      <c r="S80" s="178"/>
      <c r="T80" s="157">
        <f t="shared" si="62"/>
        <v>0</v>
      </c>
      <c r="U80" s="134">
        <f t="shared" si="63"/>
        <v>0</v>
      </c>
    </row>
    <row r="81" spans="1:21" ht="22" x14ac:dyDescent="0.35">
      <c r="A81" s="136">
        <f t="shared" si="51"/>
        <v>7</v>
      </c>
      <c r="B81" s="180">
        <f t="shared" si="51"/>
        <v>651201172</v>
      </c>
      <c r="C81" s="179" t="str">
        <f t="shared" si="51"/>
        <v>นางสาววริสรา สายทอง</v>
      </c>
      <c r="D81" s="178"/>
      <c r="E81" s="157">
        <f t="shared" si="52"/>
        <v>0</v>
      </c>
      <c r="F81" s="134">
        <f t="shared" si="53"/>
        <v>0</v>
      </c>
      <c r="G81" s="178"/>
      <c r="H81" s="157">
        <f t="shared" si="54"/>
        <v>0</v>
      </c>
      <c r="I81" s="134">
        <f t="shared" si="55"/>
        <v>0</v>
      </c>
      <c r="J81" s="178"/>
      <c r="K81" s="157">
        <f t="shared" si="56"/>
        <v>0</v>
      </c>
      <c r="L81" s="134">
        <f t="shared" si="57"/>
        <v>0</v>
      </c>
      <c r="M81" s="178"/>
      <c r="N81" s="157">
        <f t="shared" si="58"/>
        <v>0</v>
      </c>
      <c r="O81" s="134">
        <f t="shared" si="59"/>
        <v>0</v>
      </c>
      <c r="P81" s="178"/>
      <c r="Q81" s="157">
        <f t="shared" si="60"/>
        <v>0</v>
      </c>
      <c r="R81" s="134">
        <f t="shared" si="61"/>
        <v>0</v>
      </c>
      <c r="S81" s="178"/>
      <c r="T81" s="157">
        <f t="shared" si="62"/>
        <v>0</v>
      </c>
      <c r="U81" s="134">
        <f t="shared" si="63"/>
        <v>0</v>
      </c>
    </row>
    <row r="82" spans="1:21" ht="22" x14ac:dyDescent="0.35">
      <c r="A82" s="136">
        <f t="shared" si="51"/>
        <v>8</v>
      </c>
      <c r="B82" s="180">
        <f t="shared" si="51"/>
        <v>651201173</v>
      </c>
      <c r="C82" s="179" t="str">
        <f t="shared" si="51"/>
        <v>นางสาววีรยา ประทุมทอง</v>
      </c>
      <c r="D82" s="178"/>
      <c r="E82" s="157">
        <f t="shared" si="52"/>
        <v>0</v>
      </c>
      <c r="F82" s="134">
        <f t="shared" si="53"/>
        <v>0</v>
      </c>
      <c r="G82" s="178"/>
      <c r="H82" s="157">
        <f t="shared" si="54"/>
        <v>0</v>
      </c>
      <c r="I82" s="134">
        <f t="shared" si="55"/>
        <v>0</v>
      </c>
      <c r="J82" s="178"/>
      <c r="K82" s="157">
        <f t="shared" si="56"/>
        <v>0</v>
      </c>
      <c r="L82" s="134">
        <f t="shared" si="57"/>
        <v>0</v>
      </c>
      <c r="M82" s="178"/>
      <c r="N82" s="157">
        <f t="shared" si="58"/>
        <v>0</v>
      </c>
      <c r="O82" s="134">
        <f t="shared" si="59"/>
        <v>0</v>
      </c>
      <c r="P82" s="178"/>
      <c r="Q82" s="157">
        <f t="shared" si="60"/>
        <v>0</v>
      </c>
      <c r="R82" s="134">
        <f t="shared" si="61"/>
        <v>0</v>
      </c>
      <c r="S82" s="178"/>
      <c r="T82" s="157">
        <f t="shared" si="62"/>
        <v>0</v>
      </c>
      <c r="U82" s="134">
        <f t="shared" si="63"/>
        <v>0</v>
      </c>
    </row>
    <row r="83" spans="1:21" x14ac:dyDescent="0.35">
      <c r="A83" s="136">
        <f t="shared" si="51"/>
        <v>9</v>
      </c>
      <c r="B83" s="180">
        <f t="shared" si="51"/>
        <v>651201174</v>
      </c>
      <c r="C83" s="179" t="str">
        <f t="shared" si="51"/>
        <v>นางสาวศศิธร สุขม่วง</v>
      </c>
      <c r="D83" s="178"/>
      <c r="E83" s="157">
        <f t="shared" si="52"/>
        <v>0</v>
      </c>
      <c r="F83" s="134">
        <f t="shared" si="53"/>
        <v>0</v>
      </c>
      <c r="G83" s="178"/>
      <c r="H83" s="157">
        <f t="shared" si="54"/>
        <v>0</v>
      </c>
      <c r="I83" s="134">
        <f t="shared" si="55"/>
        <v>0</v>
      </c>
      <c r="J83" s="178"/>
      <c r="K83" s="157">
        <f t="shared" si="56"/>
        <v>0</v>
      </c>
      <c r="L83" s="134">
        <f t="shared" si="57"/>
        <v>0</v>
      </c>
      <c r="M83" s="178"/>
      <c r="N83" s="157">
        <f t="shared" si="58"/>
        <v>0</v>
      </c>
      <c r="O83" s="134">
        <f t="shared" si="59"/>
        <v>0</v>
      </c>
      <c r="P83" s="178"/>
      <c r="Q83" s="157">
        <f t="shared" si="60"/>
        <v>0</v>
      </c>
      <c r="R83" s="134">
        <f t="shared" si="61"/>
        <v>0</v>
      </c>
      <c r="S83" s="178"/>
      <c r="T83" s="157">
        <f t="shared" si="62"/>
        <v>0</v>
      </c>
      <c r="U83" s="134">
        <f t="shared" si="63"/>
        <v>0</v>
      </c>
    </row>
    <row r="84" spans="1:21" x14ac:dyDescent="0.35">
      <c r="A84" s="136">
        <f t="shared" si="51"/>
        <v>10</v>
      </c>
      <c r="B84" s="180">
        <f t="shared" si="51"/>
        <v>0</v>
      </c>
      <c r="C84" s="179">
        <f t="shared" si="51"/>
        <v>0</v>
      </c>
      <c r="D84" s="178"/>
      <c r="E84" s="157">
        <f t="shared" si="52"/>
        <v>0</v>
      </c>
      <c r="F84" s="134">
        <f t="shared" si="53"/>
        <v>0</v>
      </c>
      <c r="G84" s="178"/>
      <c r="H84" s="157">
        <f t="shared" si="54"/>
        <v>0</v>
      </c>
      <c r="I84" s="134">
        <f t="shared" si="55"/>
        <v>0</v>
      </c>
      <c r="J84" s="178"/>
      <c r="K84" s="157">
        <f t="shared" si="56"/>
        <v>0</v>
      </c>
      <c r="L84" s="134">
        <f t="shared" si="57"/>
        <v>0</v>
      </c>
      <c r="M84" s="178"/>
      <c r="N84" s="157">
        <f t="shared" si="58"/>
        <v>0</v>
      </c>
      <c r="O84" s="134">
        <f t="shared" si="59"/>
        <v>0</v>
      </c>
      <c r="P84" s="178"/>
      <c r="Q84" s="157">
        <f t="shared" si="60"/>
        <v>0</v>
      </c>
      <c r="R84" s="134">
        <f t="shared" si="61"/>
        <v>0</v>
      </c>
      <c r="S84" s="178"/>
      <c r="T84" s="157">
        <f t="shared" si="62"/>
        <v>0</v>
      </c>
      <c r="U84" s="134">
        <f t="shared" si="63"/>
        <v>0</v>
      </c>
    </row>
    <row r="85" spans="1:21" x14ac:dyDescent="0.35">
      <c r="C85" s="141" t="s">
        <v>13</v>
      </c>
      <c r="D85" s="145" t="e">
        <f>AVERAGE($D$75:$D$84)</f>
        <v>#DIV/0!</v>
      </c>
      <c r="G85" s="145" t="e">
        <f>AVERAGE($G$75:$G$84)</f>
        <v>#DIV/0!</v>
      </c>
      <c r="J85" s="145" t="e">
        <f>AVERAGE($J$75:$J$84)</f>
        <v>#DIV/0!</v>
      </c>
      <c r="M85" s="145" t="e">
        <f>AVERAGE($M$75:$M$84)</f>
        <v>#DIV/0!</v>
      </c>
      <c r="P85" s="145" t="e">
        <f>AVERAGE($P$75:$P$84)</f>
        <v>#DIV/0!</v>
      </c>
      <c r="S85" s="145" t="e">
        <f>AVERAGE($S$75:$S$84)</f>
        <v>#DIV/0!</v>
      </c>
    </row>
    <row r="86" spans="1:21" x14ac:dyDescent="0.35">
      <c r="C86" s="141" t="s">
        <v>14</v>
      </c>
      <c r="D86" s="145" t="e">
        <f>STDEV($D$75:$D$84)</f>
        <v>#DIV/0!</v>
      </c>
      <c r="F86" s="168"/>
      <c r="G86" s="145" t="e">
        <f>STDEV($G$75:$G$84)</f>
        <v>#DIV/0!</v>
      </c>
      <c r="J86" s="145" t="e">
        <f>STDEV(J75:J84)</f>
        <v>#DIV/0!</v>
      </c>
      <c r="L86" s="168"/>
      <c r="M86" s="145" t="e">
        <f>STDEV($M$75:$M$84)</f>
        <v>#DIV/0!</v>
      </c>
      <c r="P86" s="145" t="e">
        <f>STDEV(P75:P84)</f>
        <v>#DIV/0!</v>
      </c>
      <c r="S86" s="145" t="e">
        <f>STDEV($S$75:$S$84)</f>
        <v>#DIV/0!</v>
      </c>
    </row>
    <row r="87" spans="1:21" x14ac:dyDescent="0.35">
      <c r="C87" s="141"/>
      <c r="D87" s="145"/>
      <c r="F87" s="168"/>
      <c r="G87" s="145"/>
      <c r="J87" s="145"/>
      <c r="L87" s="168"/>
      <c r="M87" s="145"/>
      <c r="P87" s="131" t="s">
        <v>2</v>
      </c>
    </row>
    <row r="88" spans="1:21" x14ac:dyDescent="0.35">
      <c r="C88" s="141"/>
      <c r="D88" s="145"/>
      <c r="F88" s="168"/>
      <c r="G88" s="145"/>
      <c r="J88" s="145"/>
      <c r="L88" s="168"/>
      <c r="M88" s="145"/>
    </row>
    <row r="89" spans="1:21" x14ac:dyDescent="0.35">
      <c r="B89" s="170" t="s">
        <v>148</v>
      </c>
      <c r="C89" s="141"/>
      <c r="D89" s="145"/>
      <c r="F89" s="168"/>
      <c r="G89" s="145"/>
      <c r="J89" s="145"/>
      <c r="L89" s="168"/>
      <c r="M89" s="145"/>
      <c r="P89" s="145"/>
    </row>
    <row r="90" spans="1:21" x14ac:dyDescent="0.35">
      <c r="C90" s="141"/>
      <c r="D90" s="145"/>
      <c r="F90" s="168"/>
      <c r="G90" s="145"/>
    </row>
    <row r="91" spans="1:21" x14ac:dyDescent="0.35">
      <c r="A91" s="224" t="s">
        <v>76</v>
      </c>
      <c r="B91" s="224" t="s">
        <v>12</v>
      </c>
      <c r="C91" s="224" t="s">
        <v>0</v>
      </c>
      <c r="D91" s="225" t="s">
        <v>1</v>
      </c>
      <c r="E91" s="225"/>
      <c r="F91" s="225"/>
      <c r="G91" s="225"/>
      <c r="H91" s="172"/>
      <c r="I91" s="140" t="s">
        <v>4</v>
      </c>
      <c r="J91" s="140" t="s">
        <v>139</v>
      </c>
      <c r="K91" s="133" t="s">
        <v>146</v>
      </c>
      <c r="N91" s="168"/>
      <c r="O91" s="168"/>
      <c r="P91" s="225" t="s">
        <v>144</v>
      </c>
      <c r="Q91" s="225"/>
      <c r="R91" s="140" t="s">
        <v>141</v>
      </c>
      <c r="S91" s="140" t="s">
        <v>142</v>
      </c>
      <c r="T91" s="140" t="s">
        <v>4</v>
      </c>
    </row>
    <row r="92" spans="1:21" x14ac:dyDescent="0.35">
      <c r="A92" s="224"/>
      <c r="B92" s="224"/>
      <c r="C92" s="224"/>
      <c r="D92" s="138" t="str">
        <f>SUM(E7,H7,K7,N7,Q7,T7,E23,H23,K23,N23,Q23,T23,E40,H40,K40,N40,Q40,T40,E57,H57,K57,N57,Q57,T57,E74,H74,K74,N74,Q74,T74)&amp;"%"</f>
        <v>100%</v>
      </c>
      <c r="E92" s="138" t="str">
        <f>SUM(F7,I7,L7,O7,R7,U7,F23,I23,L23,O23,R23,U23,F40,I40,L40,O40,R40,U40,F57,I57,L57,O57,R57,U57,F74,I74,L74,O74,R74,U74)&amp;"T"</f>
        <v>10.5T</v>
      </c>
      <c r="F92" s="226" t="s">
        <v>143</v>
      </c>
      <c r="G92" s="226"/>
      <c r="H92" s="172"/>
      <c r="I92" s="175" t="s">
        <v>8</v>
      </c>
      <c r="J92" s="175">
        <f t="shared" ref="J92:J100" si="64">COUNTIF($F$93:$G$102,I92)</f>
        <v>1</v>
      </c>
      <c r="K92" s="133">
        <f t="shared" ref="K92:K101" si="65">ROUND((J92*100)/$J$101,2)</f>
        <v>11.11</v>
      </c>
      <c r="N92" s="168"/>
      <c r="O92" s="168"/>
      <c r="P92" s="229" t="s">
        <v>140</v>
      </c>
      <c r="Q92" s="229"/>
      <c r="R92" s="136">
        <v>85</v>
      </c>
      <c r="S92" s="136">
        <v>100</v>
      </c>
      <c r="T92" s="133" t="s">
        <v>8</v>
      </c>
    </row>
    <row r="93" spans="1:21" x14ac:dyDescent="0.35">
      <c r="A93" s="136">
        <f t="shared" ref="A93:C102" si="66">A8</f>
        <v>1</v>
      </c>
      <c r="B93" s="136">
        <f t="shared" si="66"/>
        <v>651201165</v>
      </c>
      <c r="C93" s="135" t="str">
        <f t="shared" si="66"/>
        <v>นางสาวรักษิณา จวนสาง</v>
      </c>
      <c r="D93" s="134">
        <f t="shared" ref="D93:D101" si="67">ROUND(SUM(E8,H8,K8,N8,Q8,T8,E24,H24,K24,N24,Q24,T24,E41,H41,K41,N41,Q41,T41,E58,H58,K58,N58,Q58,T58,E75,H75,K75,N75,Q75,T75),2)</f>
        <v>78.39</v>
      </c>
      <c r="E93" s="157">
        <f t="shared" ref="E93:E101" si="68">ROUND(SUM(F8,I8,L8,O8,R8,U8,F24,I24,L24,O24,R24,U24,F41,I41,L41,O41,R41,U41,F58,I58,L58,O58,R58,U58,F75,I75,L75,O75,R75,U75),2)</f>
        <v>519.64</v>
      </c>
      <c r="F93" s="222" t="str">
        <f t="shared" ref="F93:F102" si="69">IF(D93=0,"-",IF(D93&gt;=$R$92,$T$92,IF(D93&gt;=$R$93,$T$93,IF(D93&gt;=$R$94,$T$94,IF(D93&gt;=$R$95,$T$95,IF(D93&gt;=$R$96,$T$96,$T$97))))))</f>
        <v>B</v>
      </c>
      <c r="G93" s="222"/>
      <c r="H93" s="172"/>
      <c r="I93" s="177" t="s">
        <v>111</v>
      </c>
      <c r="J93" s="175">
        <f t="shared" si="64"/>
        <v>2</v>
      </c>
      <c r="K93" s="133">
        <f t="shared" si="65"/>
        <v>22.22</v>
      </c>
      <c r="N93" s="168"/>
      <c r="O93" s="168"/>
      <c r="P93" s="229" t="s">
        <v>140</v>
      </c>
      <c r="Q93" s="229"/>
      <c r="R93" s="136">
        <v>80</v>
      </c>
      <c r="S93" s="136">
        <v>84</v>
      </c>
      <c r="T93" s="133" t="s">
        <v>111</v>
      </c>
    </row>
    <row r="94" spans="1:21" x14ac:dyDescent="0.35">
      <c r="A94" s="136">
        <f t="shared" si="66"/>
        <v>2</v>
      </c>
      <c r="B94" s="136">
        <f t="shared" si="66"/>
        <v>651201166</v>
      </c>
      <c r="C94" s="135" t="str">
        <f t="shared" si="66"/>
        <v>นางสาวรัตนา แก้วอาษา</v>
      </c>
      <c r="D94" s="134">
        <f t="shared" si="67"/>
        <v>76.47</v>
      </c>
      <c r="E94" s="157">
        <f t="shared" si="68"/>
        <v>499.49</v>
      </c>
      <c r="F94" s="222" t="str">
        <f t="shared" si="69"/>
        <v>B</v>
      </c>
      <c r="G94" s="222"/>
      <c r="H94" s="172"/>
      <c r="I94" s="175" t="s">
        <v>110</v>
      </c>
      <c r="J94" s="175">
        <f t="shared" si="64"/>
        <v>4</v>
      </c>
      <c r="K94" s="133">
        <f t="shared" si="65"/>
        <v>44.44</v>
      </c>
      <c r="N94" s="168"/>
      <c r="O94" s="168"/>
      <c r="P94" s="229" t="s">
        <v>140</v>
      </c>
      <c r="Q94" s="229"/>
      <c r="R94" s="136">
        <v>75</v>
      </c>
      <c r="S94" s="136">
        <v>79</v>
      </c>
      <c r="T94" s="133" t="s">
        <v>110</v>
      </c>
    </row>
    <row r="95" spans="1:21" x14ac:dyDescent="0.35">
      <c r="A95" s="136">
        <f t="shared" si="66"/>
        <v>3</v>
      </c>
      <c r="B95" s="136">
        <f t="shared" si="66"/>
        <v>651201167</v>
      </c>
      <c r="C95" s="135" t="str">
        <f t="shared" si="66"/>
        <v>นางสาวลลิตา กุลเทียนประดิษฐ์</v>
      </c>
      <c r="D95" s="134">
        <f t="shared" si="67"/>
        <v>80.569999999999993</v>
      </c>
      <c r="E95" s="157">
        <f t="shared" si="68"/>
        <v>557.1</v>
      </c>
      <c r="F95" s="222" t="str">
        <f t="shared" si="69"/>
        <v>B+</v>
      </c>
      <c r="G95" s="222"/>
      <c r="H95" s="172"/>
      <c r="I95" s="175" t="s">
        <v>131</v>
      </c>
      <c r="J95" s="175">
        <f t="shared" si="64"/>
        <v>2</v>
      </c>
      <c r="K95" s="133">
        <f t="shared" si="65"/>
        <v>22.22</v>
      </c>
      <c r="N95" s="168"/>
      <c r="O95" s="168"/>
      <c r="P95" s="229" t="s">
        <v>140</v>
      </c>
      <c r="Q95" s="229"/>
      <c r="R95" s="136">
        <v>70</v>
      </c>
      <c r="S95" s="136">
        <v>74</v>
      </c>
      <c r="T95" s="133" t="s">
        <v>131</v>
      </c>
    </row>
    <row r="96" spans="1:21" x14ac:dyDescent="0.35">
      <c r="A96" s="136">
        <f t="shared" si="66"/>
        <v>4</v>
      </c>
      <c r="B96" s="136">
        <f t="shared" si="66"/>
        <v>651201169</v>
      </c>
      <c r="C96" s="135" t="str">
        <f t="shared" si="66"/>
        <v>นายวรปรัชญ์ ปัดไธสง</v>
      </c>
      <c r="D96" s="134">
        <f t="shared" si="67"/>
        <v>73.58</v>
      </c>
      <c r="E96" s="157">
        <f t="shared" si="68"/>
        <v>451.21</v>
      </c>
      <c r="F96" s="222" t="str">
        <f t="shared" si="69"/>
        <v>C+</v>
      </c>
      <c r="G96" s="222"/>
      <c r="H96" s="172"/>
      <c r="I96" s="175" t="s">
        <v>132</v>
      </c>
      <c r="J96" s="175">
        <f t="shared" si="64"/>
        <v>0</v>
      </c>
      <c r="K96" s="133">
        <f t="shared" si="65"/>
        <v>0</v>
      </c>
      <c r="N96" s="168"/>
      <c r="O96" s="168"/>
      <c r="P96" s="229" t="s">
        <v>140</v>
      </c>
      <c r="Q96" s="229"/>
      <c r="R96" s="136">
        <v>65</v>
      </c>
      <c r="S96" s="136">
        <v>69</v>
      </c>
      <c r="T96" s="133" t="s">
        <v>132</v>
      </c>
    </row>
    <row r="97" spans="1:20" x14ac:dyDescent="0.35">
      <c r="A97" s="136">
        <f t="shared" si="66"/>
        <v>5</v>
      </c>
      <c r="B97" s="136">
        <f t="shared" si="66"/>
        <v>651201170</v>
      </c>
      <c r="C97" s="135" t="str">
        <f t="shared" si="66"/>
        <v>นายวรเมธ สีดำ</v>
      </c>
      <c r="D97" s="134">
        <f t="shared" si="67"/>
        <v>88.58</v>
      </c>
      <c r="E97" s="157">
        <f t="shared" si="68"/>
        <v>660.14</v>
      </c>
      <c r="F97" s="222" t="str">
        <f t="shared" si="69"/>
        <v>A</v>
      </c>
      <c r="G97" s="222"/>
      <c r="H97" s="172"/>
      <c r="I97" s="175" t="s">
        <v>133</v>
      </c>
      <c r="J97" s="175">
        <f t="shared" si="64"/>
        <v>0</v>
      </c>
      <c r="K97" s="133">
        <f t="shared" si="65"/>
        <v>0</v>
      </c>
      <c r="N97" s="168"/>
      <c r="O97" s="168"/>
      <c r="P97" s="229" t="s">
        <v>140</v>
      </c>
      <c r="Q97" s="229"/>
      <c r="R97" s="136">
        <v>0</v>
      </c>
      <c r="S97" s="136">
        <v>64</v>
      </c>
      <c r="T97" s="133" t="s">
        <v>135</v>
      </c>
    </row>
    <row r="98" spans="1:20" x14ac:dyDescent="0.35">
      <c r="A98" s="136">
        <f t="shared" si="66"/>
        <v>6</v>
      </c>
      <c r="B98" s="136">
        <f t="shared" si="66"/>
        <v>651201171</v>
      </c>
      <c r="C98" s="135" t="str">
        <f t="shared" si="66"/>
        <v>นายวรากร ก้อมมะณี</v>
      </c>
      <c r="D98" s="134">
        <f t="shared" si="67"/>
        <v>74.959999999999994</v>
      </c>
      <c r="E98" s="157">
        <f t="shared" si="68"/>
        <v>472.31</v>
      </c>
      <c r="F98" s="222" t="str">
        <f t="shared" si="69"/>
        <v>C+</v>
      </c>
      <c r="G98" s="222"/>
      <c r="H98" s="172"/>
      <c r="I98" s="176" t="s">
        <v>134</v>
      </c>
      <c r="J98" s="175">
        <f t="shared" si="64"/>
        <v>0</v>
      </c>
      <c r="K98" s="133">
        <f t="shared" si="65"/>
        <v>0</v>
      </c>
      <c r="L98" s="168"/>
      <c r="M98" s="168"/>
      <c r="N98" s="168"/>
      <c r="O98" s="168"/>
      <c r="P98" s="168"/>
      <c r="Q98" s="168"/>
      <c r="R98" s="168"/>
    </row>
    <row r="99" spans="1:20" x14ac:dyDescent="0.35">
      <c r="A99" s="136">
        <f t="shared" si="66"/>
        <v>7</v>
      </c>
      <c r="B99" s="136">
        <f t="shared" si="66"/>
        <v>651201172</v>
      </c>
      <c r="C99" s="135" t="str">
        <f t="shared" si="66"/>
        <v>นางสาววริสรา สายทอง</v>
      </c>
      <c r="D99" s="134">
        <f t="shared" si="67"/>
        <v>75.959999999999994</v>
      </c>
      <c r="E99" s="157">
        <f t="shared" si="68"/>
        <v>482.87</v>
      </c>
      <c r="F99" s="222" t="str">
        <f t="shared" si="69"/>
        <v>B</v>
      </c>
      <c r="G99" s="222"/>
      <c r="H99" s="172"/>
      <c r="I99" s="176" t="s">
        <v>135</v>
      </c>
      <c r="J99" s="175">
        <f t="shared" si="64"/>
        <v>0</v>
      </c>
      <c r="K99" s="133">
        <f t="shared" si="65"/>
        <v>0</v>
      </c>
      <c r="L99" s="168"/>
      <c r="M99" s="168"/>
      <c r="N99" s="168"/>
      <c r="O99" s="168"/>
      <c r="P99" s="168"/>
      <c r="Q99" s="168"/>
      <c r="R99" s="168"/>
    </row>
    <row r="100" spans="1:20" x14ac:dyDescent="0.35">
      <c r="A100" s="136">
        <f t="shared" si="66"/>
        <v>8</v>
      </c>
      <c r="B100" s="136">
        <f t="shared" si="66"/>
        <v>651201173</v>
      </c>
      <c r="C100" s="135" t="str">
        <f t="shared" si="66"/>
        <v>นางสาววีรยา ประทุมทอง</v>
      </c>
      <c r="D100" s="134">
        <f t="shared" si="67"/>
        <v>83.4</v>
      </c>
      <c r="E100" s="157">
        <f t="shared" si="68"/>
        <v>594.38</v>
      </c>
      <c r="F100" s="222" t="str">
        <f t="shared" si="69"/>
        <v>B+</v>
      </c>
      <c r="G100" s="222"/>
      <c r="H100" s="172"/>
      <c r="I100" s="176" t="s">
        <v>145</v>
      </c>
      <c r="J100" s="175">
        <f t="shared" si="64"/>
        <v>0</v>
      </c>
      <c r="K100" s="133">
        <f t="shared" si="65"/>
        <v>0</v>
      </c>
      <c r="L100" s="168"/>
      <c r="M100" s="168"/>
      <c r="N100" s="168"/>
      <c r="O100" s="168"/>
      <c r="P100" s="168"/>
      <c r="Q100" s="168"/>
      <c r="R100" s="168"/>
    </row>
    <row r="101" spans="1:20" x14ac:dyDescent="0.35">
      <c r="A101" s="136">
        <f t="shared" si="66"/>
        <v>9</v>
      </c>
      <c r="B101" s="136">
        <f t="shared" si="66"/>
        <v>651201174</v>
      </c>
      <c r="C101" s="135" t="str">
        <f t="shared" si="66"/>
        <v>นางสาวศศิธร สุขม่วง</v>
      </c>
      <c r="D101" s="134">
        <f t="shared" si="67"/>
        <v>75.790000000000006</v>
      </c>
      <c r="E101" s="157">
        <f t="shared" si="68"/>
        <v>477.86</v>
      </c>
      <c r="F101" s="222" t="str">
        <f t="shared" si="69"/>
        <v>B</v>
      </c>
      <c r="G101" s="222"/>
      <c r="H101" s="172"/>
      <c r="I101" s="174" t="s">
        <v>1</v>
      </c>
      <c r="J101" s="174">
        <f>SUM(J92:J100)</f>
        <v>9</v>
      </c>
      <c r="K101" s="173">
        <f t="shared" si="65"/>
        <v>100</v>
      </c>
      <c r="L101" s="168"/>
      <c r="M101" s="168"/>
      <c r="N101" s="168"/>
      <c r="O101" s="168"/>
      <c r="P101" s="168"/>
      <c r="Q101" s="168"/>
      <c r="R101" s="168"/>
    </row>
    <row r="102" spans="1:20" x14ac:dyDescent="0.35">
      <c r="A102" s="136">
        <f t="shared" si="66"/>
        <v>10</v>
      </c>
      <c r="B102" s="136">
        <f t="shared" si="66"/>
        <v>0</v>
      </c>
      <c r="C102" s="135">
        <f t="shared" si="66"/>
        <v>0</v>
      </c>
      <c r="D102" s="134">
        <f>ROUND(SUM(E17,H17,K17,N17,Q17,T17,E33,H33,K33,N33,Q33,T33,E50,H50,K50,N50,Q50,T50,E67,H67,K67,N67,Q67,T67,E84,H84,K84,N84,Q84,T84),2)</f>
        <v>0</v>
      </c>
      <c r="E102" s="157" t="str">
        <f>IF(D102=0,"-",ROUND(SUM(F17,I17,L17,O17,R17,U17,F33,I33,L33,O33,R33,U33,F50,I50,L50,O50,R50,U50,F67,I67,L67,O67,R67,U67,F84,I84,L84,O84,R84,U84),2))</f>
        <v>-</v>
      </c>
      <c r="F102" s="222" t="str">
        <f t="shared" si="69"/>
        <v>-</v>
      </c>
      <c r="G102" s="222"/>
      <c r="H102" s="172"/>
      <c r="I102" s="172"/>
    </row>
    <row r="103" spans="1:20" x14ac:dyDescent="0.35">
      <c r="C103" s="146"/>
      <c r="D103" s="171"/>
      <c r="E103" s="171"/>
      <c r="F103" s="141"/>
      <c r="G103" s="141"/>
      <c r="H103" s="141"/>
      <c r="I103" s="141"/>
    </row>
    <row r="104" spans="1:20" x14ac:dyDescent="0.35">
      <c r="I104" s="169"/>
      <c r="J104" s="169"/>
    </row>
    <row r="105" spans="1:20" x14ac:dyDescent="0.35">
      <c r="B105" s="170" t="s">
        <v>147</v>
      </c>
      <c r="I105" s="169"/>
      <c r="J105" s="169"/>
      <c r="K105" s="169"/>
      <c r="L105" s="131" t="s">
        <v>2</v>
      </c>
    </row>
    <row r="106" spans="1:20" ht="22" thickBot="1" x14ac:dyDescent="0.4">
      <c r="A106" s="224" t="s">
        <v>76</v>
      </c>
      <c r="B106" s="224" t="s">
        <v>12</v>
      </c>
      <c r="C106" s="224" t="s">
        <v>0</v>
      </c>
      <c r="D106" s="227" t="s">
        <v>1</v>
      </c>
      <c r="E106" s="228"/>
      <c r="F106" s="226" t="s">
        <v>149</v>
      </c>
      <c r="G106" s="226"/>
      <c r="I106" s="168" t="s">
        <v>38</v>
      </c>
      <c r="J106" s="145"/>
      <c r="L106" s="168"/>
      <c r="O106" s="168" t="s">
        <v>39</v>
      </c>
      <c r="Q106" s="145"/>
    </row>
    <row r="107" spans="1:20" ht="22" thickBot="1" x14ac:dyDescent="0.4">
      <c r="A107" s="224"/>
      <c r="B107" s="224"/>
      <c r="C107" s="224"/>
      <c r="D107" s="138" t="str">
        <f>SUM(E7,H7,K7,N7,Q7,T7,E23,H23,K23,N23,Q23,T23,E40,H40,K40,N40,Q40,T40,E57,H57,K57,N57,Q57,T57,E74,H74,K74,N74,Q74,T74)&amp;"%"</f>
        <v>100%</v>
      </c>
      <c r="E107" s="138" t="str">
        <f>SUM(F7,I7,L7,O7,R7,U7,F23,I23,L23,O23,R23,U23,F40,I40,L40,O40,R40,U40,F57,I57,L57,O57,R57,U57,F74,I74,L74,O74,R74,U74)&amp;"T"</f>
        <v>10.5T</v>
      </c>
      <c r="F107" s="137" t="s">
        <v>152</v>
      </c>
      <c r="G107" s="137" t="s">
        <v>153</v>
      </c>
      <c r="I107" s="165" t="s">
        <v>15</v>
      </c>
      <c r="J107" s="165" t="s">
        <v>16</v>
      </c>
      <c r="K107" s="166" t="s">
        <v>9</v>
      </c>
      <c r="L107" s="165" t="s">
        <v>4</v>
      </c>
      <c r="M107" s="165" t="s">
        <v>1</v>
      </c>
      <c r="O107" s="165" t="s">
        <v>15</v>
      </c>
      <c r="P107" s="167"/>
      <c r="Q107" s="165" t="s">
        <v>16</v>
      </c>
      <c r="R107" s="166" t="s">
        <v>9</v>
      </c>
      <c r="S107" s="165" t="s">
        <v>4</v>
      </c>
      <c r="T107" s="165" t="s">
        <v>1</v>
      </c>
    </row>
    <row r="108" spans="1:20" x14ac:dyDescent="0.35">
      <c r="A108" s="136">
        <f t="shared" ref="A108:C117" si="70">A8</f>
        <v>1</v>
      </c>
      <c r="B108" s="136">
        <f t="shared" si="70"/>
        <v>651201165</v>
      </c>
      <c r="C108" s="135" t="str">
        <f t="shared" si="70"/>
        <v>นางสาวรักษิณา จวนสาง</v>
      </c>
      <c r="D108" s="134">
        <f t="shared" ref="D108:D116" si="71">ROUND(SUM(E8,H8,K8,N8,Q8,T8,E24,H24,K24,N24,Q24,T24,E41,H41,K41,N41,Q41,T41,E58,H58,K58,N58,Q58,T58,E75,H75,K75,N75,Q75,T75),2)</f>
        <v>78.39</v>
      </c>
      <c r="E108" s="134">
        <f t="shared" ref="E108:E116" si="72">ROUND(SUM(F8,I8,L8,O8,R8,U8,F24,I24,L24,O24,R24,U24,F41,I41,L41,O41,R41,U41,F58,I58,L58,O58,R58,U58,F75,I75,L75,O75,R75,U75),2)</f>
        <v>519.64</v>
      </c>
      <c r="F108" s="133" t="str">
        <f t="shared" ref="F108:F117" si="73">IF($I$111="-","-",IF(E108="-","-",IF(E108&gt;=$I$108,$L$108,IF(E108&gt;=$I$109,$L$109,IF(E108&gt;=$I$110,$L$110,IF(E108&gt;=$I$111,$L$111,IF(E108&gt;=$I$112,$L$112,IF(E108&gt;=$I$113,$L$113,IF(E108&gt;=$I$114,$L$114,IF(E108&gt;=$I$115,$L$115,"I/E"))))))))))</f>
        <v>B</v>
      </c>
      <c r="G108" s="133" t="str">
        <f t="shared" ref="G108:G117" si="74"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164" t="str">
        <f>IF(OR($E$128=8),$J$109+0.01,"-")</f>
        <v>-</v>
      </c>
      <c r="J108" s="164" t="str">
        <f>IF(OR($E$128=8),$I$108+$E$129,"-")</f>
        <v>-</v>
      </c>
      <c r="K108" s="163" t="e">
        <f t="shared" ref="K108:K115" si="75">J108-I108</f>
        <v>#VALUE!</v>
      </c>
      <c r="L108" s="154" t="str">
        <f>IF($E$128=8,$C$124,"-")</f>
        <v>-</v>
      </c>
      <c r="M108" s="154" t="str">
        <f t="shared" ref="M108:M115" si="76">IF(L108="-","-",COUNTIF($F$108:$F$117,L108))</f>
        <v>-</v>
      </c>
      <c r="O108" s="157" t="str">
        <f>IF(OR($E$128=7),$Q$109+0.01,"-")</f>
        <v>-</v>
      </c>
      <c r="P108" s="162"/>
      <c r="Q108" s="157" t="str">
        <f>IF(OR($E$128=7),$O$108+$E$129,"-")</f>
        <v>-</v>
      </c>
      <c r="R108" s="155" t="e">
        <f t="shared" ref="R108:R114" si="77">Q108-O108</f>
        <v>#VALUE!</v>
      </c>
      <c r="S108" s="133" t="str">
        <f>IF($E$128=7,$C$124,"-")</f>
        <v>-</v>
      </c>
      <c r="T108" s="154" t="str">
        <f t="shared" ref="T108:T114" si="78">IF(S108="-","-",COUNTIF($G$108:$G$117,S108))</f>
        <v>-</v>
      </c>
    </row>
    <row r="109" spans="1:20" x14ac:dyDescent="0.35">
      <c r="A109" s="136">
        <f t="shared" si="70"/>
        <v>2</v>
      </c>
      <c r="B109" s="136">
        <f t="shared" si="70"/>
        <v>651201166</v>
      </c>
      <c r="C109" s="135" t="str">
        <f t="shared" si="70"/>
        <v>นางสาวรัตนา แก้วอาษา</v>
      </c>
      <c r="D109" s="134">
        <f t="shared" si="71"/>
        <v>76.47</v>
      </c>
      <c r="E109" s="134">
        <f t="shared" si="72"/>
        <v>499.49</v>
      </c>
      <c r="F109" s="133" t="str">
        <f t="shared" si="73"/>
        <v>B</v>
      </c>
      <c r="G109" s="133" t="str">
        <f t="shared" si="74"/>
        <v>-</v>
      </c>
      <c r="I109" s="159" t="str">
        <f>IF(OR($E$128=8,$E$128=6),$J$110+0.01,"-")</f>
        <v>-</v>
      </c>
      <c r="J109" s="159" t="str">
        <f>IF(OR($E$128=8,$E$128=6),$I$109+$E$129,"-")</f>
        <v>-</v>
      </c>
      <c r="K109" s="155" t="e">
        <f t="shared" si="75"/>
        <v>#VALUE!</v>
      </c>
      <c r="L109" s="133" t="str">
        <f>IF($E$128=8,$C$125,IF($E$128=6,$C$124,"-"))</f>
        <v>-</v>
      </c>
      <c r="M109" s="154" t="str">
        <f t="shared" si="76"/>
        <v>-</v>
      </c>
      <c r="O109" s="157" t="str">
        <f>IF(OR($E$128=5,$E$128=7),$Q$110+0.01,"-")</f>
        <v>-</v>
      </c>
      <c r="P109" s="158"/>
      <c r="Q109" s="157" t="str">
        <f>IF(OR($E$128=5,$E$128=7),$O$109+$E$129,"-")</f>
        <v>-</v>
      </c>
      <c r="R109" s="155" t="e">
        <f t="shared" si="77"/>
        <v>#VALUE!</v>
      </c>
      <c r="S109" s="133" t="str">
        <f>IF($E$128=7,$C$125,IF($E$128=5,$C$124,"-"))</f>
        <v>-</v>
      </c>
      <c r="T109" s="154" t="str">
        <f t="shared" si="78"/>
        <v>-</v>
      </c>
    </row>
    <row r="110" spans="1:20" x14ac:dyDescent="0.35">
      <c r="A110" s="136">
        <f t="shared" si="70"/>
        <v>3</v>
      </c>
      <c r="B110" s="136">
        <f t="shared" si="70"/>
        <v>651201167</v>
      </c>
      <c r="C110" s="135" t="str">
        <f t="shared" si="70"/>
        <v>นางสาวลลิตา กุลเทียนประดิษฐ์</v>
      </c>
      <c r="D110" s="134">
        <f t="shared" si="71"/>
        <v>80.569999999999993</v>
      </c>
      <c r="E110" s="134">
        <f t="shared" si="72"/>
        <v>557.1</v>
      </c>
      <c r="F110" s="133" t="str">
        <f t="shared" si="73"/>
        <v>B+</v>
      </c>
      <c r="G110" s="133" t="str">
        <f t="shared" si="74"/>
        <v>-</v>
      </c>
      <c r="I110" s="156">
        <f>IF(OR($E$128=8,$E$128=6,$E$128=4),$J$111+0.01,"-")</f>
        <v>576.13</v>
      </c>
      <c r="J110" s="156">
        <f>IF(OR($E$128=8,$E$128=6,$E$128=4),$I$110+$E$129,"-")</f>
        <v>628.36</v>
      </c>
      <c r="K110" s="155">
        <f t="shared" si="75"/>
        <v>52.230000000000018</v>
      </c>
      <c r="L110" s="133" t="str">
        <f>IF($E$128=8,$C$126,IF($E$128=6,$C$125,IF($E$128=4,$C$124,"-")))</f>
        <v>A</v>
      </c>
      <c r="M110" s="154">
        <f t="shared" si="76"/>
        <v>2</v>
      </c>
      <c r="O110" s="157" t="str">
        <f>IF(OR($E$128=3,$E$128=5,$E$128=7),Q111+0.01,"-")</f>
        <v>-</v>
      </c>
      <c r="P110" s="158"/>
      <c r="Q110" s="157" t="str">
        <f>IF(OR($E$128=3,$E$128=5,$E$128=7),$O$110+$E$129,"-")</f>
        <v>-</v>
      </c>
      <c r="R110" s="155" t="e">
        <f t="shared" si="77"/>
        <v>#VALUE!</v>
      </c>
      <c r="S110" s="133" t="str">
        <f>IF($E$128=7,$C$126,IF($E$128=5,$C$125,IF($E$128=3,$C$124,"-")))</f>
        <v>-</v>
      </c>
      <c r="T110" s="154" t="str">
        <f t="shared" si="78"/>
        <v>-</v>
      </c>
    </row>
    <row r="111" spans="1:20" x14ac:dyDescent="0.35">
      <c r="A111" s="136">
        <f t="shared" si="70"/>
        <v>4</v>
      </c>
      <c r="B111" s="136">
        <f t="shared" si="70"/>
        <v>651201169</v>
      </c>
      <c r="C111" s="135" t="str">
        <f t="shared" si="70"/>
        <v>นายวรปรัชญ์ ปัดไธสง</v>
      </c>
      <c r="D111" s="134">
        <f t="shared" si="71"/>
        <v>73.58</v>
      </c>
      <c r="E111" s="134">
        <f t="shared" si="72"/>
        <v>451.21</v>
      </c>
      <c r="F111" s="133" t="str">
        <f t="shared" si="73"/>
        <v>C+</v>
      </c>
      <c r="G111" s="133" t="str">
        <f t="shared" si="74"/>
        <v>-</v>
      </c>
      <c r="I111" s="161">
        <f>IF(OR($E$128=2,$E$128=4,$E$128=6,$E$128=8),$E$124,"-")</f>
        <v>523.89</v>
      </c>
      <c r="J111" s="159">
        <f>IF(OR($E$128=2,$E$128=4,$E$128=6,$E$128=8),$E$124+E129,"-")</f>
        <v>576.12</v>
      </c>
      <c r="K111" s="155">
        <f t="shared" si="75"/>
        <v>52.230000000000018</v>
      </c>
      <c r="L111" s="133" t="str">
        <f>IF($E$128=8,$C$127,IF($E$128=6,$C$126,IF($E$128=4,$C$125,IF($E$128=2,$C$124,"-"))))</f>
        <v>B+</v>
      </c>
      <c r="M111" s="154">
        <f t="shared" si="76"/>
        <v>1</v>
      </c>
      <c r="O111" s="157" t="str">
        <f>IF(OR($E$128=1,$E$128=3,$E$128=5,$E$128=7),$P$111-($E$129/2),"-")</f>
        <v>-</v>
      </c>
      <c r="P111" s="160" t="str">
        <f>IF(OR($E$128=1,$E$128=3,$E$128=5,$E$128=7),$E$124,"-")</f>
        <v>-</v>
      </c>
      <c r="Q111" s="157" t="str">
        <f>IF(OR($E$128=1,$E$128=3,$E$128=5,$E$128=7),$P$111+$E$129/2,"-")</f>
        <v>-</v>
      </c>
      <c r="R111" s="155" t="e">
        <f t="shared" si="77"/>
        <v>#VALUE!</v>
      </c>
      <c r="S111" s="133" t="str">
        <f>IF($E$128=7,$C$127,IF($E$128=5,$C$126,IF($E$128=3,$C$125,IF($E$128=1,$C$124,"-"))))</f>
        <v>-</v>
      </c>
      <c r="T111" s="154" t="str">
        <f t="shared" si="78"/>
        <v>-</v>
      </c>
    </row>
    <row r="112" spans="1:20" x14ac:dyDescent="0.35">
      <c r="A112" s="136">
        <f t="shared" si="70"/>
        <v>5</v>
      </c>
      <c r="B112" s="136">
        <f t="shared" si="70"/>
        <v>651201170</v>
      </c>
      <c r="C112" s="135" t="str">
        <f t="shared" si="70"/>
        <v>นายวรเมธ สีดำ</v>
      </c>
      <c r="D112" s="134">
        <f t="shared" si="71"/>
        <v>88.58</v>
      </c>
      <c r="E112" s="134">
        <f t="shared" si="72"/>
        <v>660.14</v>
      </c>
      <c r="F112" s="133" t="str">
        <f t="shared" si="73"/>
        <v>A</v>
      </c>
      <c r="G112" s="133" t="str">
        <f t="shared" si="74"/>
        <v>-</v>
      </c>
      <c r="I112" s="156">
        <f>IF(OR($E$128=2,$E$128=4,$E$128=6,$E$128=8),$J$112-$E$129,"-")</f>
        <v>471.65</v>
      </c>
      <c r="J112" s="159">
        <f>IF(OR($E$128=2,$E$128=4,$E$128=6,$E$128=8),$E$124-0.01,"-")</f>
        <v>523.88</v>
      </c>
      <c r="K112" s="155">
        <f t="shared" si="75"/>
        <v>52.230000000000018</v>
      </c>
      <c r="L112" s="133" t="str">
        <f>IF($E$128=8,$C$128,IF($E$128=6,$C$127,IF($E$128=4,$C$126,IF($E$128=2,$C$125,"-"))))</f>
        <v>B</v>
      </c>
      <c r="M112" s="154">
        <f t="shared" si="76"/>
        <v>5</v>
      </c>
      <c r="O112" s="157" t="str">
        <f>IF(OR($E$128=3,$E$128=5,$E$128=7),$Q$112-$E$129,"-")</f>
        <v>-</v>
      </c>
      <c r="P112" s="158"/>
      <c r="Q112" s="157" t="str">
        <f>IF(OR($E$128=3,$E$128=5,$E$128=7),$O$111-0.01,"-")</f>
        <v>-</v>
      </c>
      <c r="R112" s="155" t="e">
        <f t="shared" si="77"/>
        <v>#VALUE!</v>
      </c>
      <c r="S112" s="133" t="str">
        <f>IF($E$128=7,$C$128,IF($E$128=5,$C$127,IF($E$128=3,$C$126,"-")))</f>
        <v>-</v>
      </c>
      <c r="T112" s="154" t="str">
        <f t="shared" si="78"/>
        <v>-</v>
      </c>
    </row>
    <row r="113" spans="1:20" x14ac:dyDescent="0.35">
      <c r="A113" s="136">
        <f t="shared" si="70"/>
        <v>6</v>
      </c>
      <c r="B113" s="136">
        <f t="shared" si="70"/>
        <v>651201171</v>
      </c>
      <c r="C113" s="135" t="str">
        <f t="shared" si="70"/>
        <v>นายวรากร ก้อมมะณี</v>
      </c>
      <c r="D113" s="134">
        <f t="shared" si="71"/>
        <v>74.959999999999994</v>
      </c>
      <c r="E113" s="134">
        <f t="shared" si="72"/>
        <v>472.31</v>
      </c>
      <c r="F113" s="133" t="str">
        <f t="shared" si="73"/>
        <v>B</v>
      </c>
      <c r="G113" s="133" t="str">
        <f t="shared" si="74"/>
        <v>-</v>
      </c>
      <c r="I113" s="156">
        <f>IF(OR($E$128=4,$E$128=6,$E$128=8),$J$113-$E$129,"-")</f>
        <v>419.40999999999997</v>
      </c>
      <c r="J113" s="156">
        <f>IF(OR($E$128=8,$E$128=6,$E$128=4),$I$112-0.01,"-")</f>
        <v>471.64</v>
      </c>
      <c r="K113" s="155">
        <f t="shared" si="75"/>
        <v>52.230000000000018</v>
      </c>
      <c r="L113" s="133" t="str">
        <f>IF($E$128=8,$C$129,IF($E$128=6,$C$128,IF($E$128=4,$C$127,"-")))</f>
        <v>C+</v>
      </c>
      <c r="M113" s="154">
        <f t="shared" si="76"/>
        <v>1</v>
      </c>
      <c r="O113" s="157" t="str">
        <f>IF(OR($E$128=5,$E$128=7),$Q$113-$E$129,"-")</f>
        <v>-</v>
      </c>
      <c r="P113" s="153"/>
      <c r="Q113" s="157" t="str">
        <f>IF(OR($E$128=5,$E$128=7),$O$112-0.01,"-")</f>
        <v>-</v>
      </c>
      <c r="R113" s="155" t="e">
        <f t="shared" si="77"/>
        <v>#VALUE!</v>
      </c>
      <c r="S113" s="133" t="str">
        <f>IF($E$128=7,$C$129,IF($E$128=5,$C$128,"-"))</f>
        <v>-</v>
      </c>
      <c r="T113" s="154" t="str">
        <f t="shared" si="78"/>
        <v>-</v>
      </c>
    </row>
    <row r="114" spans="1:20" ht="22" thickBot="1" x14ac:dyDescent="0.4">
      <c r="A114" s="136">
        <f t="shared" si="70"/>
        <v>7</v>
      </c>
      <c r="B114" s="136">
        <f t="shared" si="70"/>
        <v>651201172</v>
      </c>
      <c r="C114" s="135" t="str">
        <f t="shared" si="70"/>
        <v>นางสาววริสรา สายทอง</v>
      </c>
      <c r="D114" s="134">
        <f t="shared" si="71"/>
        <v>75.959999999999994</v>
      </c>
      <c r="E114" s="134">
        <f t="shared" si="72"/>
        <v>482.87</v>
      </c>
      <c r="F114" s="133" t="str">
        <f t="shared" si="73"/>
        <v>B</v>
      </c>
      <c r="G114" s="133" t="str">
        <f t="shared" si="74"/>
        <v>-</v>
      </c>
      <c r="I114" s="156" t="str">
        <f>IF(OR($E$128=6,$E$128=8),$J$114-$E$129,"-")</f>
        <v>-</v>
      </c>
      <c r="J114" s="156" t="str">
        <f>IF(OR($E$128=8,$E$128=6),$I$113-0.01,"-")</f>
        <v>-</v>
      </c>
      <c r="K114" s="155" t="e">
        <f t="shared" si="75"/>
        <v>#VALUE!</v>
      </c>
      <c r="L114" s="133" t="str">
        <f>IF($E$128=8,$C$130,IF($E$128=6,$C$129,"-"))</f>
        <v>-</v>
      </c>
      <c r="M114" s="154" t="str">
        <f t="shared" si="76"/>
        <v>-</v>
      </c>
      <c r="O114" s="152" t="str">
        <f>IF(OR($E$128=7),$Q$114-$E$129,"-")</f>
        <v>-</v>
      </c>
      <c r="P114" s="153"/>
      <c r="Q114" s="152" t="str">
        <f>IF(OR($E$128=7),$O$113-0.01,"-")</f>
        <v>-</v>
      </c>
      <c r="R114" s="149" t="e">
        <f t="shared" si="77"/>
        <v>#VALUE!</v>
      </c>
      <c r="S114" s="151" t="str">
        <f>IF($E$128=7,$C$130,"-")</f>
        <v>-</v>
      </c>
      <c r="T114" s="148" t="str">
        <f t="shared" si="78"/>
        <v>-</v>
      </c>
    </row>
    <row r="115" spans="1:20" ht="22" thickBot="1" x14ac:dyDescent="0.4">
      <c r="A115" s="136">
        <f t="shared" si="70"/>
        <v>8</v>
      </c>
      <c r="B115" s="136">
        <f t="shared" si="70"/>
        <v>651201173</v>
      </c>
      <c r="C115" s="135" t="str">
        <f t="shared" si="70"/>
        <v>นางสาววีรยา ประทุมทอง</v>
      </c>
      <c r="D115" s="134">
        <f t="shared" si="71"/>
        <v>83.4</v>
      </c>
      <c r="E115" s="134">
        <f t="shared" si="72"/>
        <v>594.38</v>
      </c>
      <c r="F115" s="133" t="str">
        <f t="shared" si="73"/>
        <v>A</v>
      </c>
      <c r="G115" s="133" t="str">
        <f t="shared" si="74"/>
        <v>-</v>
      </c>
      <c r="I115" s="150" t="str">
        <f>IF(OR($E$128=8),$J$115-$E$129,"-")</f>
        <v>-</v>
      </c>
      <c r="J115" s="150" t="str">
        <f>IF($E$128=8,$I$114-0.01,"-")</f>
        <v>-</v>
      </c>
      <c r="K115" s="149" t="e">
        <f t="shared" si="75"/>
        <v>#VALUE!</v>
      </c>
      <c r="L115" s="133" t="str">
        <f>IF($E$128=8,$C$131,"-")</f>
        <v>-</v>
      </c>
      <c r="M115" s="148" t="str">
        <f t="shared" si="76"/>
        <v>-</v>
      </c>
      <c r="O115" s="231" t="s">
        <v>1</v>
      </c>
      <c r="P115" s="231"/>
      <c r="Q115" s="231"/>
      <c r="R115" s="231"/>
      <c r="S115" s="231"/>
      <c r="T115" s="147">
        <f>SUM(T108:T114)</f>
        <v>0</v>
      </c>
    </row>
    <row r="116" spans="1:20" ht="22" thickBot="1" x14ac:dyDescent="0.4">
      <c r="A116" s="136">
        <f t="shared" si="70"/>
        <v>9</v>
      </c>
      <c r="B116" s="136">
        <f t="shared" si="70"/>
        <v>651201174</v>
      </c>
      <c r="C116" s="135" t="str">
        <f t="shared" si="70"/>
        <v>นางสาวศศิธร สุขม่วง</v>
      </c>
      <c r="D116" s="134">
        <f t="shared" si="71"/>
        <v>75.790000000000006</v>
      </c>
      <c r="E116" s="134">
        <f t="shared" si="72"/>
        <v>477.86</v>
      </c>
      <c r="F116" s="133" t="str">
        <f t="shared" si="73"/>
        <v>B</v>
      </c>
      <c r="G116" s="133" t="str">
        <f t="shared" si="74"/>
        <v>-</v>
      </c>
      <c r="I116" s="232" t="s">
        <v>1</v>
      </c>
      <c r="J116" s="233"/>
      <c r="K116" s="233"/>
      <c r="L116" s="234"/>
      <c r="M116" s="147">
        <f>SUM(M108:M115)</f>
        <v>9</v>
      </c>
    </row>
    <row r="117" spans="1:20" x14ac:dyDescent="0.35">
      <c r="A117" s="136">
        <f t="shared" si="70"/>
        <v>10</v>
      </c>
      <c r="B117" s="136">
        <f t="shared" si="70"/>
        <v>0</v>
      </c>
      <c r="C117" s="135">
        <f t="shared" si="70"/>
        <v>0</v>
      </c>
      <c r="D117" s="134">
        <f>ROUND(SUM(E17,H17,K17,N17,Q17,T17,E33,H33,K33,N33,Q33,T33,E50,H50,K50,N50,Q50,T50,E67,H67,K67,N67,Q67,T67,E84,H84,K84,N84,Q84,T84),2)</f>
        <v>0</v>
      </c>
      <c r="E117" s="134" t="str">
        <f>IF(D117=0,"-",ROUND(SUM(F17,I17,L17,O17,R17,U17,F33,I33,L33,O33,R33,U33,F50,I50,L50,O50,R50,U50,F67,I67,L67,O67,R67,U67,F84,I84,L84,O84,R84,U84),2))</f>
        <v>-</v>
      </c>
      <c r="F117" s="133" t="str">
        <f t="shared" si="73"/>
        <v>-</v>
      </c>
      <c r="G117" s="133" t="str">
        <f t="shared" si="74"/>
        <v>-</v>
      </c>
    </row>
    <row r="118" spans="1:20" x14ac:dyDescent="0.35">
      <c r="C118" s="146"/>
      <c r="D118" s="145"/>
      <c r="E118" s="145"/>
      <c r="F118" s="141"/>
      <c r="G118" s="141"/>
    </row>
    <row r="119" spans="1:20" x14ac:dyDescent="0.35">
      <c r="C119" s="146"/>
      <c r="D119" s="145"/>
      <c r="E119" s="145"/>
      <c r="F119" s="141"/>
      <c r="G119" s="141"/>
    </row>
    <row r="120" spans="1:20" x14ac:dyDescent="0.35">
      <c r="C120" s="146"/>
      <c r="D120" s="145"/>
      <c r="E120" s="145"/>
      <c r="F120" s="141"/>
      <c r="G120" s="141"/>
    </row>
    <row r="121" spans="1:20" x14ac:dyDescent="0.35">
      <c r="C121" s="146"/>
      <c r="D121" s="145"/>
      <c r="E121" s="145"/>
      <c r="F121" s="141"/>
      <c r="G121" s="141"/>
    </row>
    <row r="122" spans="1:20" x14ac:dyDescent="0.35">
      <c r="C122" s="146"/>
      <c r="D122" s="145"/>
      <c r="E122" s="145"/>
      <c r="F122" s="141"/>
      <c r="G122" s="141"/>
    </row>
    <row r="124" spans="1:20" x14ac:dyDescent="0.35">
      <c r="B124" s="136" t="str">
        <f>IF($E$130="A","4",IF($E$130="B+","3.5",IF($E$130="B","3",IF($E$130="C+","2.5",IF($E$130="C","2",IF($E$130="D+","1.5",IF($E$130="D","1","-")))))))</f>
        <v>4</v>
      </c>
      <c r="C124" s="136" t="str">
        <f>IF(B124="4","A",IF(B124="3.5","B+",IF(B124="3","B",IF(B124="2.5","C+",IF(B124="2","C",IF(B124="1.5","D+",IF(B124="1","D","-")))))))</f>
        <v>A</v>
      </c>
      <c r="D124" s="143" t="s">
        <v>13</v>
      </c>
      <c r="E124" s="144">
        <f>ROUND(AVERAGE($E$108:$E$117),2)</f>
        <v>523.89</v>
      </c>
    </row>
    <row r="125" spans="1:20" x14ac:dyDescent="0.35">
      <c r="B125" s="136">
        <f>$B$124-0.5</f>
        <v>3.5</v>
      </c>
      <c r="C125" s="136" t="str">
        <f t="shared" ref="C125:C132" si="79">IF(B125=4,"A",IF(B125=3.5,"B+",IF(B125=3,"B",IF(B125=2.5,"C+",IF(B125=2,"C",IF(B125=1.5,"D+",IF(B125=1,"D","E")))))))</f>
        <v>B+</v>
      </c>
      <c r="D125" s="144" t="s">
        <v>18</v>
      </c>
      <c r="E125" s="144">
        <f>ROUND(MAX($E$108:$E$117),2)</f>
        <v>660.14</v>
      </c>
      <c r="O125" s="131" t="s">
        <v>154</v>
      </c>
    </row>
    <row r="126" spans="1:20" x14ac:dyDescent="0.35">
      <c r="B126" s="136">
        <f>$B$124-1</f>
        <v>3</v>
      </c>
      <c r="C126" s="136" t="str">
        <f t="shared" si="79"/>
        <v>B</v>
      </c>
      <c r="D126" s="144" t="s">
        <v>19</v>
      </c>
      <c r="E126" s="144">
        <f>ROUND(MIN($E$108:$E$117),2)</f>
        <v>451.21</v>
      </c>
      <c r="O126" s="131">
        <v>1</v>
      </c>
      <c r="P126" s="131" t="s">
        <v>137</v>
      </c>
    </row>
    <row r="127" spans="1:20" x14ac:dyDescent="0.35">
      <c r="B127" s="136">
        <f>$B$124-1.5</f>
        <v>2.5</v>
      </c>
      <c r="C127" s="136" t="str">
        <f t="shared" si="79"/>
        <v>C+</v>
      </c>
      <c r="D127" s="143" t="s">
        <v>150</v>
      </c>
      <c r="E127" s="144">
        <f>ROUND($E$125-$E$126,2)</f>
        <v>208.93</v>
      </c>
      <c r="O127" s="131">
        <v>2</v>
      </c>
      <c r="P127" s="131" t="s">
        <v>155</v>
      </c>
    </row>
    <row r="128" spans="1:20" x14ac:dyDescent="0.35">
      <c r="B128" s="136">
        <f>$B$124-2</f>
        <v>2</v>
      </c>
      <c r="C128" s="136" t="str">
        <f t="shared" si="79"/>
        <v>C</v>
      </c>
      <c r="D128" s="143" t="s">
        <v>4</v>
      </c>
      <c r="E128" s="142">
        <v>4</v>
      </c>
      <c r="F128" s="131" t="s">
        <v>40</v>
      </c>
      <c r="O128" s="131">
        <v>3</v>
      </c>
      <c r="P128" s="131" t="s">
        <v>156</v>
      </c>
    </row>
    <row r="129" spans="1:19" x14ac:dyDescent="0.35">
      <c r="B129" s="136">
        <f>$B$124-2.5</f>
        <v>1.5</v>
      </c>
      <c r="C129" s="136" t="str">
        <f t="shared" si="79"/>
        <v>D+</v>
      </c>
      <c r="D129" s="143" t="s">
        <v>9</v>
      </c>
      <c r="E129" s="144">
        <f>ROUND($E$127/$E$128,2)</f>
        <v>52.23</v>
      </c>
      <c r="O129" s="235"/>
      <c r="P129" s="235"/>
      <c r="Q129" s="235"/>
      <c r="R129" s="235"/>
      <c r="S129" s="235"/>
    </row>
    <row r="130" spans="1:19" x14ac:dyDescent="0.35">
      <c r="B130" s="136">
        <f>$B$124-3</f>
        <v>1</v>
      </c>
      <c r="C130" s="136" t="str">
        <f t="shared" si="79"/>
        <v>D</v>
      </c>
      <c r="D130" s="143" t="s">
        <v>151</v>
      </c>
      <c r="E130" s="142" t="s">
        <v>8</v>
      </c>
      <c r="F130" s="131" t="s">
        <v>41</v>
      </c>
      <c r="O130" s="235"/>
      <c r="P130" s="235"/>
      <c r="Q130" s="235"/>
      <c r="R130" s="235"/>
      <c r="S130" s="235"/>
    </row>
    <row r="131" spans="1:19" x14ac:dyDescent="0.35">
      <c r="B131" s="136">
        <f>$B$124-3.5</f>
        <v>0.5</v>
      </c>
      <c r="C131" s="136" t="str">
        <f t="shared" si="79"/>
        <v>E</v>
      </c>
      <c r="O131" s="223"/>
      <c r="P131" s="223"/>
      <c r="Q131" s="223"/>
      <c r="R131" s="223"/>
      <c r="S131" s="223"/>
    </row>
    <row r="132" spans="1:19" x14ac:dyDescent="0.35">
      <c r="B132" s="136">
        <f>$B$124-4</f>
        <v>0</v>
      </c>
      <c r="C132" s="136" t="str">
        <f t="shared" si="79"/>
        <v>E</v>
      </c>
    </row>
    <row r="136" spans="1:19" x14ac:dyDescent="0.35">
      <c r="C136" s="230" t="s">
        <v>188</v>
      </c>
      <c r="D136" s="230"/>
      <c r="E136" s="230"/>
      <c r="G136" s="131">
        <v>1</v>
      </c>
    </row>
    <row r="137" spans="1:19" x14ac:dyDescent="0.35">
      <c r="A137" s="224" t="s">
        <v>76</v>
      </c>
      <c r="B137" s="224" t="s">
        <v>12</v>
      </c>
      <c r="C137" s="224" t="s">
        <v>0</v>
      </c>
      <c r="D137" s="225" t="s">
        <v>1</v>
      </c>
      <c r="E137" s="225"/>
      <c r="F137" s="225"/>
      <c r="G137" s="225"/>
    </row>
    <row r="138" spans="1:19" x14ac:dyDescent="0.35">
      <c r="A138" s="224"/>
      <c r="B138" s="224"/>
      <c r="C138" s="224"/>
      <c r="D138" s="138" t="str">
        <f t="shared" ref="D138:E148" si="80">D92</f>
        <v>100%</v>
      </c>
      <c r="E138" s="138" t="str">
        <f t="shared" si="80"/>
        <v>10.5T</v>
      </c>
      <c r="F138" s="226" t="s">
        <v>4</v>
      </c>
      <c r="G138" s="226"/>
    </row>
    <row r="139" spans="1:19" x14ac:dyDescent="0.35">
      <c r="A139" s="136">
        <f t="shared" ref="A139:C148" si="81">A8</f>
        <v>1</v>
      </c>
      <c r="B139" s="136">
        <f t="shared" si="81"/>
        <v>651201165</v>
      </c>
      <c r="C139" s="135" t="str">
        <f t="shared" si="81"/>
        <v>นางสาวรักษิณา จวนสาง</v>
      </c>
      <c r="D139" s="134">
        <f t="shared" si="80"/>
        <v>78.39</v>
      </c>
      <c r="E139" s="134">
        <f t="shared" si="80"/>
        <v>519.64</v>
      </c>
      <c r="F139" s="222" t="str">
        <f t="shared" ref="F139:F148" si="82">IF($G$136=1,F93,IF($G$136=2,F108,G108))</f>
        <v>B</v>
      </c>
      <c r="G139" s="222"/>
    </row>
    <row r="140" spans="1:19" x14ac:dyDescent="0.35">
      <c r="A140" s="136">
        <f t="shared" si="81"/>
        <v>2</v>
      </c>
      <c r="B140" s="136">
        <f t="shared" si="81"/>
        <v>651201166</v>
      </c>
      <c r="C140" s="135" t="str">
        <f t="shared" si="81"/>
        <v>นางสาวรัตนา แก้วอาษา</v>
      </c>
      <c r="D140" s="134">
        <f t="shared" si="80"/>
        <v>76.47</v>
      </c>
      <c r="E140" s="134">
        <f t="shared" si="80"/>
        <v>499.49</v>
      </c>
      <c r="F140" s="222" t="str">
        <f t="shared" si="82"/>
        <v>B</v>
      </c>
      <c r="G140" s="222"/>
    </row>
    <row r="141" spans="1:19" x14ac:dyDescent="0.35">
      <c r="A141" s="136">
        <f t="shared" si="81"/>
        <v>3</v>
      </c>
      <c r="B141" s="136">
        <f t="shared" si="81"/>
        <v>651201167</v>
      </c>
      <c r="C141" s="135" t="str">
        <f t="shared" si="81"/>
        <v>นางสาวลลิตา กุลเทียนประดิษฐ์</v>
      </c>
      <c r="D141" s="134">
        <f t="shared" si="80"/>
        <v>80.569999999999993</v>
      </c>
      <c r="E141" s="134">
        <f t="shared" si="80"/>
        <v>557.1</v>
      </c>
      <c r="F141" s="222" t="str">
        <f t="shared" si="82"/>
        <v>B+</v>
      </c>
      <c r="G141" s="222"/>
    </row>
    <row r="142" spans="1:19" x14ac:dyDescent="0.35">
      <c r="A142" s="136">
        <f t="shared" si="81"/>
        <v>4</v>
      </c>
      <c r="B142" s="136">
        <f t="shared" si="81"/>
        <v>651201169</v>
      </c>
      <c r="C142" s="135" t="str">
        <f t="shared" si="81"/>
        <v>นายวรปรัชญ์ ปัดไธสง</v>
      </c>
      <c r="D142" s="134">
        <f t="shared" si="80"/>
        <v>73.58</v>
      </c>
      <c r="E142" s="134">
        <f t="shared" si="80"/>
        <v>451.21</v>
      </c>
      <c r="F142" s="222" t="str">
        <f t="shared" si="82"/>
        <v>C+</v>
      </c>
      <c r="G142" s="222"/>
    </row>
    <row r="143" spans="1:19" x14ac:dyDescent="0.35">
      <c r="A143" s="136">
        <f t="shared" si="81"/>
        <v>5</v>
      </c>
      <c r="B143" s="136">
        <f t="shared" si="81"/>
        <v>651201170</v>
      </c>
      <c r="C143" s="135" t="str">
        <f t="shared" si="81"/>
        <v>นายวรเมธ สีดำ</v>
      </c>
      <c r="D143" s="134">
        <f t="shared" si="80"/>
        <v>88.58</v>
      </c>
      <c r="E143" s="134">
        <f t="shared" si="80"/>
        <v>660.14</v>
      </c>
      <c r="F143" s="222" t="str">
        <f t="shared" si="82"/>
        <v>A</v>
      </c>
      <c r="G143" s="222"/>
    </row>
    <row r="144" spans="1:19" x14ac:dyDescent="0.35">
      <c r="A144" s="136">
        <f t="shared" si="81"/>
        <v>6</v>
      </c>
      <c r="B144" s="136">
        <f t="shared" si="81"/>
        <v>651201171</v>
      </c>
      <c r="C144" s="135" t="str">
        <f t="shared" si="81"/>
        <v>นายวรากร ก้อมมะณี</v>
      </c>
      <c r="D144" s="134">
        <f t="shared" si="80"/>
        <v>74.959999999999994</v>
      </c>
      <c r="E144" s="134">
        <f t="shared" si="80"/>
        <v>472.31</v>
      </c>
      <c r="F144" s="222" t="str">
        <f t="shared" si="82"/>
        <v>C+</v>
      </c>
      <c r="G144" s="222"/>
    </row>
    <row r="145" spans="1:7" x14ac:dyDescent="0.35">
      <c r="A145" s="136">
        <f t="shared" si="81"/>
        <v>7</v>
      </c>
      <c r="B145" s="136">
        <f t="shared" si="81"/>
        <v>651201172</v>
      </c>
      <c r="C145" s="135" t="str">
        <f t="shared" si="81"/>
        <v>นางสาววริสรา สายทอง</v>
      </c>
      <c r="D145" s="134">
        <f t="shared" si="80"/>
        <v>75.959999999999994</v>
      </c>
      <c r="E145" s="134">
        <f t="shared" si="80"/>
        <v>482.87</v>
      </c>
      <c r="F145" s="222" t="str">
        <f t="shared" si="82"/>
        <v>B</v>
      </c>
      <c r="G145" s="222"/>
    </row>
    <row r="146" spans="1:7" x14ac:dyDescent="0.35">
      <c r="A146" s="136">
        <f t="shared" si="81"/>
        <v>8</v>
      </c>
      <c r="B146" s="136">
        <f t="shared" si="81"/>
        <v>651201173</v>
      </c>
      <c r="C146" s="135" t="str">
        <f t="shared" si="81"/>
        <v>นางสาววีรยา ประทุมทอง</v>
      </c>
      <c r="D146" s="134">
        <f t="shared" si="80"/>
        <v>83.4</v>
      </c>
      <c r="E146" s="134">
        <f t="shared" si="80"/>
        <v>594.38</v>
      </c>
      <c r="F146" s="222" t="str">
        <f t="shared" si="82"/>
        <v>B+</v>
      </c>
      <c r="G146" s="222"/>
    </row>
    <row r="147" spans="1:7" x14ac:dyDescent="0.35">
      <c r="A147" s="136">
        <f t="shared" si="81"/>
        <v>9</v>
      </c>
      <c r="B147" s="136">
        <f t="shared" si="81"/>
        <v>651201174</v>
      </c>
      <c r="C147" s="135" t="str">
        <f t="shared" si="81"/>
        <v>นางสาวศศิธร สุขม่วง</v>
      </c>
      <c r="D147" s="134">
        <f t="shared" si="80"/>
        <v>75.790000000000006</v>
      </c>
      <c r="E147" s="134">
        <f t="shared" si="80"/>
        <v>477.86</v>
      </c>
      <c r="F147" s="222" t="str">
        <f t="shared" si="82"/>
        <v>B</v>
      </c>
      <c r="G147" s="222"/>
    </row>
    <row r="148" spans="1:7" x14ac:dyDescent="0.35">
      <c r="A148" s="136">
        <f t="shared" si="81"/>
        <v>10</v>
      </c>
      <c r="B148" s="136">
        <f t="shared" si="81"/>
        <v>0</v>
      </c>
      <c r="C148" s="135">
        <f t="shared" si="81"/>
        <v>0</v>
      </c>
      <c r="D148" s="134">
        <f t="shared" si="80"/>
        <v>0</v>
      </c>
      <c r="E148" s="134" t="str">
        <f t="shared" si="80"/>
        <v>-</v>
      </c>
      <c r="F148" s="222" t="str">
        <f t="shared" si="82"/>
        <v>-</v>
      </c>
      <c r="G148" s="222"/>
    </row>
  </sheetData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1489" r:id="rId3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330200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4048-CB16-FA47-81F9-009958698B3F}">
  <sheetPr>
    <tabColor theme="9" tint="0.59999389629810485"/>
  </sheetPr>
  <dimension ref="A1:U148"/>
  <sheetViews>
    <sheetView zoomScale="75" workbookViewId="0">
      <selection sqref="A1:U3"/>
    </sheetView>
  </sheetViews>
  <sheetFormatPr baseColWidth="10" defaultColWidth="9" defaultRowHeight="21" x14ac:dyDescent="0.35"/>
  <cols>
    <col min="1" max="1" width="4.83203125" style="2" bestFit="1" customWidth="1"/>
    <col min="2" max="2" width="10.6640625" style="2" customWidth="1"/>
    <col min="3" max="3" width="25.1640625" style="2" customWidth="1"/>
    <col min="4" max="4" width="9" style="1"/>
    <col min="5" max="5" width="6.5" style="1" customWidth="1"/>
    <col min="6" max="6" width="8.83203125" style="1" customWidth="1"/>
    <col min="7" max="7" width="7.6640625" style="1" customWidth="1"/>
    <col min="8" max="8" width="9" style="1"/>
    <col min="9" max="9" width="10.33203125" style="1" customWidth="1"/>
    <col min="10" max="11" width="6.83203125" style="1" customWidth="1"/>
    <col min="12" max="12" width="9.33203125" style="1" bestFit="1" customWidth="1"/>
    <col min="13" max="13" width="7.1640625" style="1" customWidth="1"/>
    <col min="14" max="14" width="6.83203125" style="1" customWidth="1"/>
    <col min="15" max="15" width="8.1640625" style="1" customWidth="1"/>
    <col min="16" max="16" width="7.1640625" style="1" customWidth="1"/>
    <col min="17" max="18" width="7.6640625" style="1" customWidth="1"/>
    <col min="19" max="19" width="6.6640625" style="1" customWidth="1"/>
    <col min="20" max="16384" width="9" style="1"/>
  </cols>
  <sheetData>
    <row r="1" spans="1:21" x14ac:dyDescent="0.35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x14ac:dyDescent="0.35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x14ac:dyDescent="0.35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5.5" customHeight="1" x14ac:dyDescent="0.35"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x14ac:dyDescent="0.35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x14ac:dyDescent="0.35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299">
        <v>651201175</v>
      </c>
      <c r="C8" s="299" t="s">
        <v>290</v>
      </c>
      <c r="D8" s="300">
        <v>140</v>
      </c>
      <c r="E8" s="8">
        <f>IF(D8="-","-",IF(D8=0,0,(D8*$E$7)/$D$7))</f>
        <v>48</v>
      </c>
      <c r="F8" s="3">
        <f>IF(D8="-","-",IF(D8=0,0,IF($D$19=0,50,(50+(10*(STANDARDIZE(D8,$D$18,$D$19)))))*$F$7))</f>
        <v>170.12480002876782</v>
      </c>
      <c r="G8" s="300">
        <v>50</v>
      </c>
      <c r="H8" s="8">
        <f>IF(G8="-","-",IF(G8=0,0,(G8*$H$7)/$G$7))</f>
        <v>6.666666666666667</v>
      </c>
      <c r="I8" s="3">
        <f>IF(G8="-","-",IF(G8=0,0,IF($G$19=0,50,(50+(10*(STANDARDIZE(G8,$G$18,$G$19)))))*$I$7))</f>
        <v>32.080426592379183</v>
      </c>
      <c r="J8" s="300">
        <v>36</v>
      </c>
      <c r="K8" s="8">
        <f>IF(J8="-","-",IF(J8=0,0,(J8*$K$7)/$J$7))</f>
        <v>7.2</v>
      </c>
      <c r="L8" s="3">
        <f>IF(J8="-","-",IF(J8=0,0,IF(J19=0,50,(50+(10*(STANDARDIZE(J8,$J$18,$J$19)))))*$L$7))</f>
        <v>32.919663594124032</v>
      </c>
      <c r="M8" s="300">
        <v>24</v>
      </c>
      <c r="N8" s="8">
        <f>IF(M8="-","-",IF(M8=0,0,(M8*$N$7)/$M$7))</f>
        <v>4</v>
      </c>
      <c r="O8" s="3">
        <f>IF(M8="-","-",IF(M8=0,0,IF($M$19=0,50,(50+(10*(STANDARDIZE(M8,$M$18,$M$19)))))*$O$7))</f>
        <v>19.729537233052703</v>
      </c>
      <c r="P8" s="300">
        <v>80</v>
      </c>
      <c r="Q8" s="8">
        <f>IF(P8="-","-",IF(P8=0,0,(P8*$Q$7)/$P$7))</f>
        <v>8.8888888888888893</v>
      </c>
      <c r="R8" s="3">
        <f>IF(P8="-","-",IF(P8=0,0,IF($P$19=0,50,(50+(10*(STANDARDIZE(P8,$P$18,$P$19)))))*$R$7))</f>
        <v>50</v>
      </c>
      <c r="S8">
        <v>16</v>
      </c>
      <c r="T8" s="8">
        <f>IF(S8="-","-",IF(S8=0,0,(S8*$T$7)/$S$7))</f>
        <v>4</v>
      </c>
      <c r="U8" s="3">
        <f>IF(S8="-","-",IF(S8=0,0,IF($S$19=0,50,(50+(10*(STANDARDIZE(S8,$S$18,$S$19)))))*$U$7))</f>
        <v>56.6323316744474</v>
      </c>
    </row>
    <row r="9" spans="1:21" ht="27" x14ac:dyDescent="0.45">
      <c r="A9" s="95">
        <v>2</v>
      </c>
      <c r="B9" s="299">
        <v>651201176</v>
      </c>
      <c r="C9" s="299" t="s">
        <v>291</v>
      </c>
      <c r="D9" s="69">
        <v>150</v>
      </c>
      <c r="E9" s="8">
        <f t="shared" ref="E9:E17" si="0">IF(D9="-","-",IF(D9=0,0,(D9*$E$7)/$D$7))</f>
        <v>51.428571428571431</v>
      </c>
      <c r="F9" s="3">
        <f t="shared" ref="F9:F16" si="1">IF(D9="-","-",IF(D9=0,0,IF($D$19=0,50,(50+(10*(STANDARDIZE(D9,$D$18,$D$19)))))*$F$7))</f>
        <v>318.0838886035894</v>
      </c>
      <c r="G9" s="69">
        <v>62</v>
      </c>
      <c r="H9" s="8">
        <f t="shared" ref="H9:H17" si="2">IF(G9="-","-",IF(G9=0,0,(G9*$H$7)/$G$7))</f>
        <v>8.2666666666666675</v>
      </c>
      <c r="I9" s="3">
        <f t="shared" ref="I9:I17" si="3">IF(G9="-","-",IF(G9=0,0,IF($G$19=0,50,(50+(10*(STANDARDIZE(G9,$G$18,$G$19)))))*$I$7))</f>
        <v>60.540925533894594</v>
      </c>
      <c r="J9" s="69">
        <v>40</v>
      </c>
      <c r="K9" s="8">
        <f t="shared" ref="K9:K17" si="4">IF(J9="-","-",IF(J9=0,0,(J9*$K$7)/$J$7))</f>
        <v>8</v>
      </c>
      <c r="L9" s="3">
        <f t="shared" ref="L9:L17" si="5">IF(J9="-","-",IF(J9=0,0,IF(J20=0,50,(50+(10*(STANDARDIZE(J9,$J$18,$J$19)))))*$L$7))</f>
        <v>50</v>
      </c>
      <c r="M9" s="69">
        <v>26</v>
      </c>
      <c r="N9" s="8">
        <f t="shared" ref="N9:N17" si="6">IF(M9="-","-",IF(M9=0,0,(M9*$N$7)/$M$7))</f>
        <v>4.333333333333333</v>
      </c>
      <c r="O9" s="3">
        <f t="shared" ref="O9:O17" si="7">IF(M9="-","-",IF(M9=0,0,IF($M$19=0,50,(50+(10*(STANDARDIZE(M9,$M$18,$M$19)))))*$O$7))</f>
        <v>24.47295372330527</v>
      </c>
      <c r="P9" s="69">
        <v>80</v>
      </c>
      <c r="Q9" s="8">
        <f t="shared" ref="Q9:Q17" si="8">IF(P9="-","-",IF(P9=0,0,(P9*$Q$7)/$P$7))</f>
        <v>8.8888888888888893</v>
      </c>
      <c r="R9" s="3">
        <f t="shared" ref="R9:R17" si="9">IF(P9="-","-",IF(P9=0,0,IF($P$19=0,50,(50+(10*(STANDARDIZE(P9,$P$18,$P$19)))))*$R$7))</f>
        <v>50</v>
      </c>
      <c r="S9">
        <v>15</v>
      </c>
      <c r="T9" s="8">
        <f t="shared" ref="T9:T17" si="10">IF(S9="-","-",IF(S9=0,0,(S9*$T$7)/$S$7))</f>
        <v>3.75</v>
      </c>
      <c r="U9" s="3">
        <f t="shared" ref="U9:U17" si="11">IF(S9="-","-",IF(S9=0,0,IF($S$19=0,50,(50+(10*(STANDARDIZE(S9,$S$18,$S$19)))))*$U$7))</f>
        <v>53.121097258563481</v>
      </c>
    </row>
    <row r="10" spans="1:21" ht="27" x14ac:dyDescent="0.45">
      <c r="A10" s="95">
        <v>3</v>
      </c>
      <c r="B10" s="299">
        <v>651201177</v>
      </c>
      <c r="C10" s="299" t="s">
        <v>292</v>
      </c>
      <c r="D10" s="69">
        <v>150</v>
      </c>
      <c r="E10" s="8">
        <f t="shared" si="0"/>
        <v>51.428571428571431</v>
      </c>
      <c r="F10" s="3">
        <f t="shared" si="1"/>
        <v>318.0838886035894</v>
      </c>
      <c r="G10" s="69">
        <v>60</v>
      </c>
      <c r="H10" s="8">
        <f t="shared" si="2"/>
        <v>8</v>
      </c>
      <c r="I10" s="3">
        <f t="shared" si="3"/>
        <v>55.797509043642023</v>
      </c>
      <c r="J10" s="69">
        <v>44</v>
      </c>
      <c r="K10" s="8">
        <f t="shared" si="4"/>
        <v>8.8000000000000007</v>
      </c>
      <c r="L10" s="3">
        <f t="shared" si="5"/>
        <v>50</v>
      </c>
      <c r="M10" s="69">
        <v>26</v>
      </c>
      <c r="N10" s="8">
        <f t="shared" si="6"/>
        <v>4.333333333333333</v>
      </c>
      <c r="O10" s="3">
        <f t="shared" si="7"/>
        <v>24.47295372330527</v>
      </c>
      <c r="P10" s="69">
        <v>80</v>
      </c>
      <c r="Q10" s="8">
        <f t="shared" si="8"/>
        <v>8.8888888888888893</v>
      </c>
      <c r="R10" s="3">
        <f t="shared" si="9"/>
        <v>50</v>
      </c>
      <c r="S10">
        <v>13</v>
      </c>
      <c r="T10" s="8">
        <f t="shared" si="10"/>
        <v>3.25</v>
      </c>
      <c r="U10" s="3">
        <f t="shared" si="11"/>
        <v>46.098628426795649</v>
      </c>
    </row>
    <row r="11" spans="1:21" ht="27" x14ac:dyDescent="0.45">
      <c r="A11" s="95">
        <v>4</v>
      </c>
      <c r="B11" s="299">
        <v>651201178</v>
      </c>
      <c r="C11" s="299" t="s">
        <v>293</v>
      </c>
      <c r="D11" s="69">
        <v>148</v>
      </c>
      <c r="E11" s="8">
        <f t="shared" si="0"/>
        <v>50.74285714285714</v>
      </c>
      <c r="F11" s="3">
        <f t="shared" si="1"/>
        <v>288.49207088862505</v>
      </c>
      <c r="G11" s="69">
        <v>58</v>
      </c>
      <c r="H11" s="8">
        <f t="shared" si="2"/>
        <v>7.7333333333333334</v>
      </c>
      <c r="I11" s="3">
        <f t="shared" si="3"/>
        <v>51.054092553389459</v>
      </c>
      <c r="J11" s="69">
        <v>42</v>
      </c>
      <c r="K11" s="8">
        <f t="shared" si="4"/>
        <v>8.4</v>
      </c>
      <c r="L11" s="3">
        <f t="shared" si="5"/>
        <v>52.135042050734484</v>
      </c>
      <c r="M11" s="69">
        <v>28</v>
      </c>
      <c r="N11" s="8">
        <f t="shared" si="6"/>
        <v>4.666666666666667</v>
      </c>
      <c r="O11" s="3">
        <f t="shared" si="7"/>
        <v>29.216370213557841</v>
      </c>
      <c r="P11" s="69">
        <v>80</v>
      </c>
      <c r="Q11" s="8">
        <f t="shared" si="8"/>
        <v>8.8888888888888893</v>
      </c>
      <c r="R11" s="3">
        <f t="shared" si="9"/>
        <v>50</v>
      </c>
      <c r="S11">
        <v>18</v>
      </c>
      <c r="T11" s="8">
        <f t="shared" si="10"/>
        <v>4.5</v>
      </c>
      <c r="U11" s="3">
        <f t="shared" si="11"/>
        <v>63.654800506215231</v>
      </c>
    </row>
    <row r="12" spans="1:21" ht="27" x14ac:dyDescent="0.45">
      <c r="A12" s="95">
        <v>5</v>
      </c>
      <c r="B12" s="299">
        <v>651201179</v>
      </c>
      <c r="C12" s="299" t="s">
        <v>294</v>
      </c>
      <c r="D12" s="69">
        <v>150</v>
      </c>
      <c r="E12" s="8">
        <f t="shared" si="0"/>
        <v>51.428571428571431</v>
      </c>
      <c r="F12" s="3">
        <f t="shared" si="1"/>
        <v>318.0838886035894</v>
      </c>
      <c r="G12" s="69">
        <v>56</v>
      </c>
      <c r="H12" s="8">
        <f t="shared" si="2"/>
        <v>7.4666666666666668</v>
      </c>
      <c r="I12" s="3">
        <f t="shared" si="3"/>
        <v>46.310676063136889</v>
      </c>
      <c r="J12" s="69">
        <v>40</v>
      </c>
      <c r="K12" s="8">
        <f t="shared" si="4"/>
        <v>8</v>
      </c>
      <c r="L12" s="3">
        <f t="shared" si="5"/>
        <v>50</v>
      </c>
      <c r="M12" s="69">
        <v>24</v>
      </c>
      <c r="N12" s="8">
        <f t="shared" si="6"/>
        <v>4</v>
      </c>
      <c r="O12" s="3">
        <f t="shared" si="7"/>
        <v>19.729537233052703</v>
      </c>
      <c r="P12" s="69">
        <v>80</v>
      </c>
      <c r="Q12" s="8">
        <f t="shared" si="8"/>
        <v>8.8888888888888893</v>
      </c>
      <c r="R12" s="3">
        <f t="shared" si="9"/>
        <v>50</v>
      </c>
      <c r="S12">
        <v>16</v>
      </c>
      <c r="T12" s="8">
        <f t="shared" si="10"/>
        <v>4</v>
      </c>
      <c r="U12" s="3">
        <f t="shared" si="11"/>
        <v>56.6323316744474</v>
      </c>
    </row>
    <row r="13" spans="1:21" ht="27" x14ac:dyDescent="0.45">
      <c r="A13" s="95">
        <v>6</v>
      </c>
      <c r="B13" s="299">
        <v>651201180</v>
      </c>
      <c r="C13" s="299" t="s">
        <v>295</v>
      </c>
      <c r="D13" s="69">
        <v>155</v>
      </c>
      <c r="E13" s="8">
        <f t="shared" si="0"/>
        <v>53.142857142857146</v>
      </c>
      <c r="F13" s="3">
        <f t="shared" si="1"/>
        <v>392.06343289100016</v>
      </c>
      <c r="G13" s="69">
        <v>62</v>
      </c>
      <c r="H13" s="8">
        <f t="shared" si="2"/>
        <v>8.2666666666666675</v>
      </c>
      <c r="I13" s="3">
        <f t="shared" si="3"/>
        <v>60.540925533894594</v>
      </c>
      <c r="J13" s="69">
        <v>45</v>
      </c>
      <c r="K13" s="8">
        <f t="shared" si="4"/>
        <v>9</v>
      </c>
      <c r="L13" s="3">
        <f t="shared" si="5"/>
        <v>50</v>
      </c>
      <c r="M13" s="69">
        <v>30</v>
      </c>
      <c r="N13" s="8">
        <f t="shared" si="6"/>
        <v>5</v>
      </c>
      <c r="O13" s="3">
        <f t="shared" si="7"/>
        <v>33.959786703810408</v>
      </c>
      <c r="P13" s="69">
        <v>80</v>
      </c>
      <c r="Q13" s="8">
        <f t="shared" si="8"/>
        <v>8.8888888888888893</v>
      </c>
      <c r="R13" s="3">
        <f t="shared" si="9"/>
        <v>50</v>
      </c>
      <c r="S13">
        <v>11</v>
      </c>
      <c r="T13" s="8">
        <f t="shared" si="10"/>
        <v>2.75</v>
      </c>
      <c r="U13" s="3">
        <f t="shared" si="11"/>
        <v>39.076159595027818</v>
      </c>
    </row>
    <row r="14" spans="1:21" ht="27" x14ac:dyDescent="0.45">
      <c r="A14" s="95">
        <v>7</v>
      </c>
      <c r="B14" s="299">
        <v>651201181</v>
      </c>
      <c r="C14" s="299" t="s">
        <v>296</v>
      </c>
      <c r="D14" s="69">
        <v>150</v>
      </c>
      <c r="E14" s="8">
        <f t="shared" si="0"/>
        <v>51.428571428571431</v>
      </c>
      <c r="F14" s="3">
        <f t="shared" si="1"/>
        <v>318.0838886035894</v>
      </c>
      <c r="G14" s="69">
        <v>60</v>
      </c>
      <c r="H14" s="8">
        <f t="shared" si="2"/>
        <v>8</v>
      </c>
      <c r="I14" s="3">
        <f t="shared" si="3"/>
        <v>55.797509043642023</v>
      </c>
      <c r="J14" s="69">
        <v>42</v>
      </c>
      <c r="K14" s="8">
        <f t="shared" si="4"/>
        <v>8.4</v>
      </c>
      <c r="L14" s="3">
        <f t="shared" si="5"/>
        <v>50</v>
      </c>
      <c r="M14" s="69">
        <v>28</v>
      </c>
      <c r="N14" s="8">
        <f t="shared" si="6"/>
        <v>4.666666666666667</v>
      </c>
      <c r="O14" s="3">
        <f t="shared" si="7"/>
        <v>29.216370213557841</v>
      </c>
      <c r="P14" s="69">
        <v>80</v>
      </c>
      <c r="Q14" s="8">
        <f t="shared" si="8"/>
        <v>8.8888888888888893</v>
      </c>
      <c r="R14" s="3">
        <f t="shared" si="9"/>
        <v>50</v>
      </c>
      <c r="S14">
        <v>13</v>
      </c>
      <c r="T14" s="8">
        <f t="shared" si="10"/>
        <v>3.25</v>
      </c>
      <c r="U14" s="3">
        <f t="shared" si="11"/>
        <v>46.098628426795649</v>
      </c>
    </row>
    <row r="15" spans="1:21" ht="27" x14ac:dyDescent="0.45">
      <c r="A15" s="95">
        <v>8</v>
      </c>
      <c r="B15" s="299">
        <v>651201182</v>
      </c>
      <c r="C15" s="299" t="s">
        <v>297</v>
      </c>
      <c r="D15" s="301">
        <v>146</v>
      </c>
      <c r="E15" s="8">
        <f t="shared" si="0"/>
        <v>50.057142857142857</v>
      </c>
      <c r="F15" s="3">
        <f t="shared" si="1"/>
        <v>258.90025317366076</v>
      </c>
      <c r="G15" s="301">
        <v>52</v>
      </c>
      <c r="H15" s="8">
        <f t="shared" si="2"/>
        <v>6.9333333333333336</v>
      </c>
      <c r="I15" s="3">
        <f t="shared" si="3"/>
        <v>36.823843082631754</v>
      </c>
      <c r="J15" s="301">
        <v>38</v>
      </c>
      <c r="K15" s="8">
        <f t="shared" si="4"/>
        <v>7.6</v>
      </c>
      <c r="L15" s="3">
        <f t="shared" si="5"/>
        <v>50</v>
      </c>
      <c r="M15" s="301">
        <v>24</v>
      </c>
      <c r="N15" s="8">
        <f t="shared" si="6"/>
        <v>4</v>
      </c>
      <c r="O15" s="3">
        <f t="shared" si="7"/>
        <v>19.729537233052703</v>
      </c>
      <c r="P15" s="301">
        <v>80</v>
      </c>
      <c r="Q15" s="8">
        <f t="shared" si="8"/>
        <v>8.8888888888888893</v>
      </c>
      <c r="R15" s="3">
        <f t="shared" si="9"/>
        <v>50</v>
      </c>
      <c r="S15">
        <v>9</v>
      </c>
      <c r="T15" s="8">
        <f t="shared" si="10"/>
        <v>2.25</v>
      </c>
      <c r="U15" s="3">
        <f t="shared" si="11"/>
        <v>32.053690763259986</v>
      </c>
    </row>
    <row r="16" spans="1:21" ht="27" x14ac:dyDescent="0.45">
      <c r="A16" s="95">
        <v>9</v>
      </c>
      <c r="B16" s="299">
        <v>651201183</v>
      </c>
      <c r="C16" s="299" t="s">
        <v>298</v>
      </c>
      <c r="D16" s="302">
        <v>150</v>
      </c>
      <c r="E16" s="8">
        <f t="shared" si="0"/>
        <v>51.428571428571431</v>
      </c>
      <c r="F16" s="3">
        <f t="shared" si="1"/>
        <v>318.0838886035894</v>
      </c>
      <c r="G16" s="303">
        <v>58</v>
      </c>
      <c r="H16" s="8">
        <f t="shared" si="2"/>
        <v>7.7333333333333334</v>
      </c>
      <c r="I16" s="3">
        <f t="shared" si="3"/>
        <v>51.054092553389459</v>
      </c>
      <c r="J16" s="303">
        <v>45</v>
      </c>
      <c r="K16" s="8">
        <f t="shared" si="4"/>
        <v>9</v>
      </c>
      <c r="L16" s="3">
        <f t="shared" si="5"/>
        <v>50</v>
      </c>
      <c r="M16" s="303">
        <v>26</v>
      </c>
      <c r="N16" s="8">
        <f t="shared" si="6"/>
        <v>4.333333333333333</v>
      </c>
      <c r="O16" s="3">
        <f t="shared" si="7"/>
        <v>24.47295372330527</v>
      </c>
      <c r="P16" s="303">
        <v>80</v>
      </c>
      <c r="Q16" s="8">
        <f t="shared" si="8"/>
        <v>8.8888888888888893</v>
      </c>
      <c r="R16" s="3">
        <f t="shared" si="9"/>
        <v>50</v>
      </c>
      <c r="S16">
        <v>16</v>
      </c>
      <c r="T16" s="8">
        <f t="shared" si="10"/>
        <v>4</v>
      </c>
      <c r="U16" s="3">
        <f t="shared" si="11"/>
        <v>56.6323316744474</v>
      </c>
    </row>
    <row r="17" spans="1: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18" customHeight="1" x14ac:dyDescent="0.35">
      <c r="C18" s="42" t="s">
        <v>13</v>
      </c>
      <c r="D18" s="9">
        <f>AVERAGE($D$8:$D$17)</f>
        <v>148.77777777777777</v>
      </c>
      <c r="E18" s="2"/>
      <c r="F18" s="2"/>
      <c r="G18" s="9">
        <f>AVERAGE($G$8:$G$17)</f>
        <v>57.555555555555557</v>
      </c>
      <c r="J18" s="9">
        <f>AVERAGE($J$8:$J$17)</f>
        <v>41.333333333333336</v>
      </c>
      <c r="M18" s="9">
        <f>AVERAGE($M$8:$M$17)</f>
        <v>26.222222222222221</v>
      </c>
      <c r="P18" s="9">
        <f>AVERAGE($P$8:$P$17)</f>
        <v>80</v>
      </c>
      <c r="S18" s="9">
        <f>AVERAGE($S$8:$S$17)</f>
        <v>14.111111111111111</v>
      </c>
    </row>
    <row r="19" spans="1:21" ht="18" customHeight="1" x14ac:dyDescent="0.35">
      <c r="C19" s="42" t="s">
        <v>14</v>
      </c>
      <c r="D19" s="9">
        <f>STDEV($D$8:$D$17)</f>
        <v>4.0551750201988126</v>
      </c>
      <c r="E19" s="2"/>
      <c r="F19" s="2"/>
      <c r="G19" s="9">
        <f>STDEV($G$8:$G$17)</f>
        <v>4.2163702135578394</v>
      </c>
      <c r="J19" s="9">
        <f>STDEV($J$8:$J$17)</f>
        <v>3.1224989991991996</v>
      </c>
      <c r="M19" s="9">
        <f>STDEV($M$8:$M$17)</f>
        <v>2.1081851067789192</v>
      </c>
      <c r="P19" s="9">
        <f>STDEV($P$8:$P$17)</f>
        <v>0</v>
      </c>
      <c r="S19" s="9">
        <f>STDEV(S8:S17)</f>
        <v>2.8480012484391777</v>
      </c>
    </row>
    <row r="20" spans="1:21" ht="18" customHeight="1" x14ac:dyDescent="0.35"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18" customHeight="1" x14ac:dyDescent="0.35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x14ac:dyDescent="0.35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22" x14ac:dyDescent="0.35">
      <c r="A24" s="6">
        <v>1</v>
      </c>
      <c r="B24" s="38">
        <f>B8</f>
        <v>651201175</v>
      </c>
      <c r="C24" s="39" t="str">
        <f>C8</f>
        <v>นางสาวศศิวรรณ พิมพิลา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22" x14ac:dyDescent="0.35">
      <c r="A25" s="6">
        <v>2</v>
      </c>
      <c r="B25" s="38">
        <f t="shared" ref="B25:C33" si="12">B9</f>
        <v>651201176</v>
      </c>
      <c r="C25" s="39" t="str">
        <f t="shared" si="12"/>
        <v>นางสาวศิริประภา จนั สนิท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22" x14ac:dyDescent="0.35">
      <c r="A26" s="6">
        <v>3</v>
      </c>
      <c r="B26" s="38">
        <f t="shared" si="12"/>
        <v>651201177</v>
      </c>
      <c r="C26" s="39" t="str">
        <f t="shared" si="12"/>
        <v>นางสาวศุภลักษณ์ อุปดี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22" x14ac:dyDescent="0.35">
      <c r="A27" s="6">
        <v>4</v>
      </c>
      <c r="B27" s="38">
        <f t="shared" si="12"/>
        <v>651201178</v>
      </c>
      <c r="C27" s="39" t="str">
        <f t="shared" si="12"/>
        <v>นางสาวศุภิสรา วงศ์สาย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22" x14ac:dyDescent="0.35">
      <c r="A28" s="6">
        <v>5</v>
      </c>
      <c r="B28" s="38">
        <f t="shared" si="12"/>
        <v>651201179</v>
      </c>
      <c r="C28" s="39" t="str">
        <f t="shared" si="12"/>
        <v>นางสาวสาวิตรี เขียวบัว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22" x14ac:dyDescent="0.35">
      <c r="A29" s="6">
        <v>6</v>
      </c>
      <c r="B29" s="38">
        <f t="shared" si="12"/>
        <v>651201180</v>
      </c>
      <c r="C29" s="39" t="str">
        <f t="shared" si="12"/>
        <v>นายสิทธิโชค เสียงหวาน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22" x14ac:dyDescent="0.35">
      <c r="A30" s="6">
        <v>7</v>
      </c>
      <c r="B30" s="38">
        <f t="shared" si="12"/>
        <v>651201181</v>
      </c>
      <c r="C30" s="39" t="str">
        <f t="shared" si="12"/>
        <v>นางสาวสิรินยา จนั ทะคุณ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22" x14ac:dyDescent="0.35">
      <c r="A31" s="6">
        <v>8</v>
      </c>
      <c r="B31" s="38">
        <f t="shared" si="12"/>
        <v>651201182</v>
      </c>
      <c r="C31" s="39" t="str">
        <f t="shared" si="12"/>
        <v>นางสาวสิริยากร คุณสิงห์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x14ac:dyDescent="0.35">
      <c r="A32" s="6">
        <v>9</v>
      </c>
      <c r="B32" s="38">
        <f t="shared" si="12"/>
        <v>651201183</v>
      </c>
      <c r="C32" s="39" t="str">
        <f t="shared" si="12"/>
        <v>นางสาวสิริยุพา ดงประทีป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x14ac:dyDescent="0.35">
      <c r="C34" s="42" t="s">
        <v>13</v>
      </c>
      <c r="D34" s="9" t="e">
        <f>AVERAGE($D$24:$D$33)</f>
        <v>#DIV/0!</v>
      </c>
      <c r="G34" s="9" t="e">
        <f>AVERAGE($G$24:$G$33)</f>
        <v>#DIV/0!</v>
      </c>
      <c r="J34" s="9" t="e">
        <f>AVERAGE($J$24:$J$33)</f>
        <v>#DIV/0!</v>
      </c>
      <c r="M34" s="9" t="e">
        <f>AVERAGE($M$24:$M$33)</f>
        <v>#DIV/0!</v>
      </c>
      <c r="P34" s="9" t="e">
        <f>AVERAGE($P$24:$P$33)</f>
        <v>#DIV/0!</v>
      </c>
      <c r="S34" s="72" t="e">
        <f>AVERAGE($S$24:$S$33)</f>
        <v>#DIV/0!</v>
      </c>
    </row>
    <row r="35" spans="1:21" x14ac:dyDescent="0.35">
      <c r="C35" s="42" t="s">
        <v>14</v>
      </c>
      <c r="D35" s="9" t="e">
        <f>STDEV($D$24:$D$33)</f>
        <v>#DIV/0!</v>
      </c>
      <c r="F35" s="5"/>
      <c r="G35" s="9" t="e">
        <f>STDEV($G$24:$G$33)</f>
        <v>#DIV/0!</v>
      </c>
      <c r="J35" s="9" t="e">
        <f>STDEV($J$24:$J$33)</f>
        <v>#DIV/0!</v>
      </c>
      <c r="L35" s="5"/>
      <c r="M35" s="9" t="e">
        <f>STDEV($M$24:$M$33)</f>
        <v>#DIV/0!</v>
      </c>
      <c r="P35" s="9" t="e">
        <f>STDEV($P$24:$P$33)</f>
        <v>#DIV/0!</v>
      </c>
      <c r="S35" s="72" t="e">
        <f>STDEV($S$24:$S$33)</f>
        <v>#DIV/0!</v>
      </c>
    </row>
    <row r="36" spans="1:21" x14ac:dyDescent="0.35">
      <c r="C36" s="42"/>
      <c r="D36" s="9"/>
      <c r="F36" s="5"/>
      <c r="G36" s="9" t="s">
        <v>2</v>
      </c>
      <c r="J36" s="9"/>
      <c r="L36" s="5"/>
      <c r="M36" s="9"/>
      <c r="P36" s="1" t="s">
        <v>2</v>
      </c>
    </row>
    <row r="37" spans="1:21" x14ac:dyDescent="0.35"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</row>
    <row r="38" spans="1:21" x14ac:dyDescent="0.35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x14ac:dyDescent="0.35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22" x14ac:dyDescent="0.35">
      <c r="A41" s="6">
        <v>1</v>
      </c>
      <c r="B41" s="38">
        <f>B8</f>
        <v>651201175</v>
      </c>
      <c r="C41" s="39" t="str">
        <f>C8</f>
        <v>นางสาวศศิวรรณ พิมพิลา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22" x14ac:dyDescent="0.35">
      <c r="A42" s="6">
        <v>2</v>
      </c>
      <c r="B42" s="38">
        <f t="shared" ref="B42:C50" si="25">B9</f>
        <v>651201176</v>
      </c>
      <c r="C42" s="39" t="str">
        <f t="shared" si="25"/>
        <v>นางสาวศิริประภา จนั สนิท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22" x14ac:dyDescent="0.35">
      <c r="A43" s="6">
        <v>3</v>
      </c>
      <c r="B43" s="38">
        <f t="shared" si="25"/>
        <v>651201177</v>
      </c>
      <c r="C43" s="39" t="str">
        <f t="shared" si="25"/>
        <v>นางสาวศุภลักษณ์ อุปดี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22" x14ac:dyDescent="0.35">
      <c r="A44" s="6">
        <v>4</v>
      </c>
      <c r="B44" s="38">
        <f t="shared" si="25"/>
        <v>651201178</v>
      </c>
      <c r="C44" s="39" t="str">
        <f t="shared" si="25"/>
        <v>นางสาวศุภิสรา วงศ์สาย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22" x14ac:dyDescent="0.35">
      <c r="A45" s="6">
        <v>5</v>
      </c>
      <c r="B45" s="38">
        <f t="shared" si="25"/>
        <v>651201179</v>
      </c>
      <c r="C45" s="39" t="str">
        <f t="shared" si="25"/>
        <v>นางสาวสาวิตรี เขียวบัว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22" x14ac:dyDescent="0.35">
      <c r="A46" s="6">
        <v>6</v>
      </c>
      <c r="B46" s="38">
        <f t="shared" si="25"/>
        <v>651201180</v>
      </c>
      <c r="C46" s="39" t="str">
        <f t="shared" si="25"/>
        <v>นายสิทธิโชค เสียงหวาน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22" x14ac:dyDescent="0.35">
      <c r="A47" s="6">
        <v>7</v>
      </c>
      <c r="B47" s="38">
        <f t="shared" si="25"/>
        <v>651201181</v>
      </c>
      <c r="C47" s="39" t="str">
        <f t="shared" si="25"/>
        <v>นางสาวสิรินยา จนั ทะคุณ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22" x14ac:dyDescent="0.35">
      <c r="A48" s="6">
        <v>8</v>
      </c>
      <c r="B48" s="38">
        <f t="shared" si="25"/>
        <v>651201182</v>
      </c>
      <c r="C48" s="39" t="str">
        <f t="shared" si="25"/>
        <v>นางสาวสิริยากร คุณสิงห์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x14ac:dyDescent="0.35">
      <c r="A49" s="6">
        <v>9</v>
      </c>
      <c r="B49" s="38">
        <f t="shared" si="25"/>
        <v>651201183</v>
      </c>
      <c r="C49" s="39" t="str">
        <f t="shared" si="25"/>
        <v>นางสาวสิริยุพา ดงประทีป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x14ac:dyDescent="0.35">
      <c r="C51" s="42" t="s">
        <v>13</v>
      </c>
      <c r="D51" s="9" t="e">
        <f>AVERAGE($D$41:$D$50)</f>
        <v>#DIV/0!</v>
      </c>
      <c r="G51" s="9" t="e">
        <f>AVERAGE($G$41:$G$50)</f>
        <v>#DIV/0!</v>
      </c>
      <c r="J51" s="9" t="e">
        <f>AVERAGE($J$41:$J$50)</f>
        <v>#DIV/0!</v>
      </c>
      <c r="M51" s="9" t="e">
        <f>AVERAGE($M$41:$M$50)</f>
        <v>#DIV/0!</v>
      </c>
      <c r="P51" s="9" t="e">
        <f>AVERAGE($P$41:$P$50)</f>
        <v>#DIV/0!</v>
      </c>
      <c r="S51" s="9" t="e">
        <f>AVERAGE($S$41:$S$50)</f>
        <v>#DIV/0!</v>
      </c>
    </row>
    <row r="52" spans="1:21" x14ac:dyDescent="0.35">
      <c r="C52" s="42" t="s">
        <v>14</v>
      </c>
      <c r="D52" s="9" t="e">
        <f>STDEV($D$41:$D$50)</f>
        <v>#DIV/0!</v>
      </c>
      <c r="F52" s="5"/>
      <c r="G52" s="9" t="e">
        <f>STDEV($G$41:$G$50)</f>
        <v>#DIV/0!</v>
      </c>
      <c r="J52" s="9" t="e">
        <f>STDEV($J$41:$J$50)</f>
        <v>#DIV/0!</v>
      </c>
      <c r="M52" s="9" t="e">
        <f>STDEV($M$41:$M$50)</f>
        <v>#DIV/0!</v>
      </c>
      <c r="O52" s="5"/>
      <c r="P52" s="9" t="e">
        <f>STDEV($P$41:$P$50)</f>
        <v>#DIV/0!</v>
      </c>
      <c r="R52" s="5"/>
      <c r="S52" s="9" t="e">
        <f>STDEV($S$41:$S$50)</f>
        <v>#DIV/0!</v>
      </c>
    </row>
    <row r="53" spans="1:21" x14ac:dyDescent="0.35">
      <c r="C53" s="42"/>
      <c r="D53" s="9"/>
      <c r="F53" s="5"/>
      <c r="G53" s="9"/>
      <c r="J53" s="9"/>
      <c r="L53" s="5"/>
      <c r="M53" s="9"/>
      <c r="P53" s="1" t="s">
        <v>2</v>
      </c>
    </row>
    <row r="54" spans="1:21" x14ac:dyDescent="0.35"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</row>
    <row r="55" spans="1:21" ht="18.75" customHeight="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18.75" customHeight="1" x14ac:dyDescent="0.35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22" x14ac:dyDescent="0.35">
      <c r="A58" s="6">
        <v>1</v>
      </c>
      <c r="B58" s="38">
        <f>B8</f>
        <v>651201175</v>
      </c>
      <c r="C58" s="73" t="str">
        <f>C8</f>
        <v>นางสาวศศิวรรณ พิมพิลา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22" x14ac:dyDescent="0.35">
      <c r="A59" s="6">
        <v>2</v>
      </c>
      <c r="B59" s="38">
        <f t="shared" ref="B59:C67" si="38">B9</f>
        <v>651201176</v>
      </c>
      <c r="C59" s="73" t="str">
        <f t="shared" si="38"/>
        <v>นางสาวศิริประภา จนั สนิท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22" x14ac:dyDescent="0.35">
      <c r="A60" s="6">
        <v>3</v>
      </c>
      <c r="B60" s="38">
        <f t="shared" si="38"/>
        <v>651201177</v>
      </c>
      <c r="C60" s="73" t="str">
        <f t="shared" si="38"/>
        <v>นางสาวศุภลักษณ์ อุปดี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22" x14ac:dyDescent="0.35">
      <c r="A61" s="6">
        <v>4</v>
      </c>
      <c r="B61" s="38">
        <f t="shared" si="38"/>
        <v>651201178</v>
      </c>
      <c r="C61" s="73" t="str">
        <f t="shared" si="38"/>
        <v>นางสาวศุภิสรา วงศ์สาย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22" x14ac:dyDescent="0.35">
      <c r="A62" s="6">
        <v>5</v>
      </c>
      <c r="B62" s="38">
        <f t="shared" si="38"/>
        <v>651201179</v>
      </c>
      <c r="C62" s="73" t="str">
        <f t="shared" si="38"/>
        <v>นางสาวสาวิตรี เขียวบัว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22" x14ac:dyDescent="0.35">
      <c r="A63" s="6">
        <v>6</v>
      </c>
      <c r="B63" s="38">
        <f t="shared" si="38"/>
        <v>651201180</v>
      </c>
      <c r="C63" s="73" t="str">
        <f t="shared" si="38"/>
        <v>นายสิทธิโชค เสียงหวาน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22" x14ac:dyDescent="0.35">
      <c r="A64" s="6">
        <v>7</v>
      </c>
      <c r="B64" s="38">
        <f t="shared" si="38"/>
        <v>651201181</v>
      </c>
      <c r="C64" s="73" t="str">
        <f t="shared" si="38"/>
        <v>นางสาวสิรินยา จนั ทะคุณ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22" x14ac:dyDescent="0.35">
      <c r="A65" s="6">
        <v>8</v>
      </c>
      <c r="B65" s="38">
        <f t="shared" si="38"/>
        <v>651201182</v>
      </c>
      <c r="C65" s="73" t="str">
        <f t="shared" si="38"/>
        <v>นางสาวสิริยากร คุณสิงห์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x14ac:dyDescent="0.35">
      <c r="A66" s="6">
        <v>9</v>
      </c>
      <c r="B66" s="38">
        <f t="shared" si="38"/>
        <v>651201183</v>
      </c>
      <c r="C66" s="73" t="str">
        <f t="shared" si="38"/>
        <v>นางสาวสิริยุพา ดงประทีป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x14ac:dyDescent="0.35">
      <c r="C68" s="42" t="s">
        <v>13</v>
      </c>
      <c r="D68" s="9" t="e">
        <f>AVERAGE($D$58:$D$67)</f>
        <v>#DIV/0!</v>
      </c>
      <c r="G68" s="9" t="e">
        <f>AVERAGE($G$58:$G$67)</f>
        <v>#DIV/0!</v>
      </c>
      <c r="J68" s="9" t="e">
        <f>AVERAGE($J$58:$J$67)</f>
        <v>#DIV/0!</v>
      </c>
      <c r="M68" s="9" t="e">
        <f>AVERAGE($M$58:$M$67)</f>
        <v>#DIV/0!</v>
      </c>
      <c r="P68" s="9" t="e">
        <f>AVERAGE($P$58:$P$67)</f>
        <v>#DIV/0!</v>
      </c>
      <c r="S68" s="9" t="e">
        <f>AVERAGE($S$58:$S$67)</f>
        <v>#DIV/0!</v>
      </c>
    </row>
    <row r="69" spans="1:21" x14ac:dyDescent="0.35">
      <c r="C69" s="42" t="s">
        <v>14</v>
      </c>
      <c r="D69" s="9" t="e">
        <f>STDEV($D$58:$D$67)</f>
        <v>#DIV/0!</v>
      </c>
      <c r="F69" s="5"/>
      <c r="G69" s="9" t="e">
        <f>STDEV($G$58:$G$67)</f>
        <v>#DIV/0!</v>
      </c>
      <c r="J69" s="9" t="e">
        <f>STDEV($J$58:$J$67)</f>
        <v>#DIV/0!</v>
      </c>
      <c r="M69" s="9" t="e">
        <f>STDEV($M$41:$M$50)</f>
        <v>#DIV/0!</v>
      </c>
      <c r="O69" s="5"/>
      <c r="P69" s="9" t="e">
        <f>STDEV($P$58:$P$67)</f>
        <v>#DIV/0!</v>
      </c>
      <c r="R69" s="5"/>
      <c r="S69" s="9" t="e">
        <f>STDEV($S$58:$S$67)</f>
        <v>#DIV/0!</v>
      </c>
    </row>
    <row r="70" spans="1:21" x14ac:dyDescent="0.35">
      <c r="C70" s="42"/>
      <c r="D70" s="9"/>
      <c r="F70" s="5"/>
      <c r="G70" s="9"/>
      <c r="J70" s="9"/>
      <c r="L70" s="5"/>
      <c r="M70" s="9"/>
    </row>
    <row r="71" spans="1:21" x14ac:dyDescent="0.35">
      <c r="C71" s="42"/>
      <c r="D71" s="9"/>
      <c r="F71" s="5"/>
      <c r="G71" s="9"/>
      <c r="J71" s="9"/>
      <c r="L71" s="5"/>
      <c r="M71" s="9"/>
    </row>
    <row r="72" spans="1: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x14ac:dyDescent="0.35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22" x14ac:dyDescent="0.35">
      <c r="A75" s="6">
        <f>A8</f>
        <v>1</v>
      </c>
      <c r="B75" s="38">
        <f>B8</f>
        <v>651201175</v>
      </c>
      <c r="C75" s="39" t="str">
        <f>C8</f>
        <v>นางสาวศศิวรรณ พิมพิลา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22" x14ac:dyDescent="0.35">
      <c r="A76" s="6">
        <f t="shared" ref="A76:C84" si="51">A9</f>
        <v>2</v>
      </c>
      <c r="B76" s="38">
        <f t="shared" si="51"/>
        <v>651201176</v>
      </c>
      <c r="C76" s="39" t="str">
        <f t="shared" si="51"/>
        <v>นางสาวศิริประภา จนั สนิท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22" x14ac:dyDescent="0.35">
      <c r="A77" s="6">
        <f t="shared" si="51"/>
        <v>3</v>
      </c>
      <c r="B77" s="38">
        <f t="shared" si="51"/>
        <v>651201177</v>
      </c>
      <c r="C77" s="39" t="str">
        <f t="shared" si="51"/>
        <v>นางสาวศุภลักษณ์ อุปดี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22" x14ac:dyDescent="0.35">
      <c r="A78" s="6">
        <f t="shared" si="51"/>
        <v>4</v>
      </c>
      <c r="B78" s="38">
        <f t="shared" si="51"/>
        <v>651201178</v>
      </c>
      <c r="C78" s="39" t="str">
        <f t="shared" si="51"/>
        <v>นางสาวศุภิสรา วงศ์สาย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22" x14ac:dyDescent="0.35">
      <c r="A79" s="6">
        <f t="shared" si="51"/>
        <v>5</v>
      </c>
      <c r="B79" s="38">
        <f t="shared" si="51"/>
        <v>651201179</v>
      </c>
      <c r="C79" s="39" t="str">
        <f t="shared" si="51"/>
        <v>นางสาวสาวิตรี เขียวบัว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22" x14ac:dyDescent="0.35">
      <c r="A80" s="6">
        <f t="shared" si="51"/>
        <v>6</v>
      </c>
      <c r="B80" s="38">
        <f t="shared" si="51"/>
        <v>651201180</v>
      </c>
      <c r="C80" s="39" t="str">
        <f t="shared" si="51"/>
        <v>นายสิทธิโชค เสียงหวาน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22" x14ac:dyDescent="0.35">
      <c r="A81" s="6">
        <f t="shared" si="51"/>
        <v>7</v>
      </c>
      <c r="B81" s="38">
        <f t="shared" si="51"/>
        <v>651201181</v>
      </c>
      <c r="C81" s="39" t="str">
        <f t="shared" si="51"/>
        <v>นางสาวสิรินยา จนั ทะคุณ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22" x14ac:dyDescent="0.35">
      <c r="A82" s="6">
        <f t="shared" si="51"/>
        <v>8</v>
      </c>
      <c r="B82" s="38">
        <f t="shared" si="51"/>
        <v>651201182</v>
      </c>
      <c r="C82" s="39" t="str">
        <f t="shared" si="51"/>
        <v>นางสาวสิริยากร คุณสิงห์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x14ac:dyDescent="0.35">
      <c r="A83" s="6">
        <f t="shared" si="51"/>
        <v>9</v>
      </c>
      <c r="B83" s="38">
        <f t="shared" si="51"/>
        <v>651201183</v>
      </c>
      <c r="C83" s="39" t="str">
        <f t="shared" si="51"/>
        <v>นางสาวสิริยุพา ดงประทีป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x14ac:dyDescent="0.35">
      <c r="C85" s="42" t="s">
        <v>13</v>
      </c>
      <c r="D85" s="9" t="e">
        <f>AVERAGE($D$75:$D$84)</f>
        <v>#DIV/0!</v>
      </c>
      <c r="G85" s="9" t="e">
        <f>AVERAGE($G$75:$G$84)</f>
        <v>#DIV/0!</v>
      </c>
      <c r="J85" s="9" t="e">
        <f>AVERAGE($J$75:$J$84)</f>
        <v>#DIV/0!</v>
      </c>
      <c r="M85" s="9" t="e">
        <f>AVERAGE($M$75:$M$84)</f>
        <v>#DIV/0!</v>
      </c>
      <c r="P85" s="9" t="e">
        <f>AVERAGE($P$75:$P$84)</f>
        <v>#DIV/0!</v>
      </c>
      <c r="S85" s="9" t="e">
        <f>AVERAGE($S$75:$S$84)</f>
        <v>#DIV/0!</v>
      </c>
    </row>
    <row r="86" spans="1:21" x14ac:dyDescent="0.35">
      <c r="C86" s="42" t="s">
        <v>14</v>
      </c>
      <c r="D86" s="9" t="e">
        <f>STDEV($D$75:$D$84)</f>
        <v>#DIV/0!</v>
      </c>
      <c r="F86" s="5"/>
      <c r="G86" s="9" t="e">
        <f>STDEV($G$75:$G$84)</f>
        <v>#DIV/0!</v>
      </c>
      <c r="J86" s="9" t="e">
        <f>STDEV(J75:J84)</f>
        <v>#DIV/0!</v>
      </c>
      <c r="L86" s="5"/>
      <c r="M86" s="9" t="e">
        <f>STDEV($M$75:$M$84)</f>
        <v>#DIV/0!</v>
      </c>
      <c r="P86" s="9" t="e">
        <f>STDEV(P75:P84)</f>
        <v>#DIV/0!</v>
      </c>
      <c r="S86" s="9" t="e">
        <f>STDEV($S$75:$S$84)</f>
        <v>#DIV/0!</v>
      </c>
    </row>
    <row r="87" spans="1:21" x14ac:dyDescent="0.35">
      <c r="C87" s="42"/>
      <c r="D87" s="9"/>
      <c r="F87" s="5"/>
      <c r="G87" s="9"/>
      <c r="J87" s="9"/>
      <c r="L87" s="5"/>
      <c r="M87" s="9"/>
      <c r="P87" s="1" t="s">
        <v>2</v>
      </c>
    </row>
    <row r="88" spans="1:21" x14ac:dyDescent="0.35">
      <c r="C88" s="42"/>
      <c r="D88" s="9"/>
      <c r="F88" s="5"/>
      <c r="G88" s="9"/>
      <c r="J88" s="9"/>
      <c r="L88" s="5"/>
      <c r="M88" s="9"/>
    </row>
    <row r="89" spans="1:21" x14ac:dyDescent="0.35">
      <c r="B89" s="85" t="s">
        <v>148</v>
      </c>
      <c r="C89" s="42"/>
      <c r="D89" s="9"/>
      <c r="F89" s="5"/>
      <c r="G89" s="9"/>
      <c r="J89" s="9"/>
      <c r="L89" s="5"/>
      <c r="M89" s="9"/>
      <c r="P89" s="9"/>
    </row>
    <row r="90" spans="1:21" x14ac:dyDescent="0.35">
      <c r="C90" s="42"/>
      <c r="D90" s="9"/>
      <c r="F90" s="5"/>
      <c r="G90" s="9"/>
    </row>
    <row r="91" spans="1: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</row>
    <row r="92" spans="1: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2</v>
      </c>
      <c r="K92" s="7">
        <f>ROUND((J92*100)/$J$101,2)</f>
        <v>22.22</v>
      </c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</row>
    <row r="93" spans="1:21" x14ac:dyDescent="0.35">
      <c r="A93" s="6">
        <f>A8</f>
        <v>1</v>
      </c>
      <c r="B93" s="6">
        <f t="shared" ref="B93:C93" si="64">B8</f>
        <v>651201175</v>
      </c>
      <c r="C93" s="78" t="str">
        <f t="shared" si="64"/>
        <v>นางสาวศศิวรรณ พิมพิลา</v>
      </c>
      <c r="D93" s="3">
        <f>ROUND(SUM(E8,H8,K8,N8,Q8,T8,E24,H24,K24,N24,Q24,T24,E41,H41,K41,N41,Q41,T41,E58,H58,K58,N58,Q58,T58,E75,H75,K75,N75,Q75,T75),2)</f>
        <v>78.760000000000005</v>
      </c>
      <c r="E93" s="8">
        <f>ROUND(SUM(F8,I8,L8,O8,R8,U8,F24,I24,L24,O24,R24,U24,F41,I41,L41,O41,R41,U41,F58,I58,L58,O58,R58,U58,F75,I75,L75,O75,R75,U75),2)</f>
        <v>361.49</v>
      </c>
      <c r="F93" s="204" t="str">
        <f t="shared" ref="F93:F102" si="65">IF(D93=0,"-",IF(D93&gt;=$R$92,$T$92,IF(D93&gt;=$R$93,$T$93,IF(D93&gt;=$R$94,$T$94,IF(D93&gt;=$R$95,$T$95,IF(D93&gt;=$R$96,$T$96,$T$97))))))</f>
        <v>B</v>
      </c>
      <c r="G93" s="204"/>
      <c r="H93" s="80"/>
      <c r="I93" s="81" t="s">
        <v>111</v>
      </c>
      <c r="J93" s="77">
        <f t="shared" ref="J93:J100" si="66">COUNTIF($F$93:$G$102,I93)</f>
        <v>5</v>
      </c>
      <c r="K93" s="7">
        <f t="shared" ref="K93:K101" si="67">ROUND((J93*100)/$J$101,2)</f>
        <v>55.56</v>
      </c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</row>
    <row r="94" spans="1:21" x14ac:dyDescent="0.35">
      <c r="A94" s="6">
        <f t="shared" ref="A94:C102" si="68">A9</f>
        <v>2</v>
      </c>
      <c r="B94" s="6">
        <f t="shared" si="68"/>
        <v>651201176</v>
      </c>
      <c r="C94" s="78" t="str">
        <f t="shared" si="68"/>
        <v>นางสาวศิริประภา จนั สนิท</v>
      </c>
      <c r="D94" s="3">
        <f t="shared" ref="D94:E102" si="69">ROUND(SUM(E9,H9,K9,N9,Q9,T9,E25,H25,K25,N25,Q25,T25,E42,H42,K42,N42,Q42,T42,E59,H59,K59,N59,Q59,T59,E76,H76,K76,N76,Q76,T76),2)</f>
        <v>84.67</v>
      </c>
      <c r="E94" s="8">
        <f t="shared" si="69"/>
        <v>556.22</v>
      </c>
      <c r="F94" s="204" t="str">
        <f t="shared" si="65"/>
        <v>B+</v>
      </c>
      <c r="G94" s="204"/>
      <c r="H94" s="80"/>
      <c r="I94" s="77" t="s">
        <v>110</v>
      </c>
      <c r="J94" s="77">
        <f t="shared" si="66"/>
        <v>2</v>
      </c>
      <c r="K94" s="7">
        <f t="shared" si="67"/>
        <v>22.22</v>
      </c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</row>
    <row r="95" spans="1:21" x14ac:dyDescent="0.35">
      <c r="A95" s="6">
        <f t="shared" si="68"/>
        <v>3</v>
      </c>
      <c r="B95" s="6">
        <f t="shared" si="68"/>
        <v>651201177</v>
      </c>
      <c r="C95" s="78" t="str">
        <f t="shared" si="68"/>
        <v>นางสาวศุภลักษณ์ อุปดี</v>
      </c>
      <c r="D95" s="3">
        <f t="shared" si="69"/>
        <v>84.7</v>
      </c>
      <c r="E95" s="8">
        <f t="shared" si="69"/>
        <v>544.45000000000005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</row>
    <row r="96" spans="1:21" x14ac:dyDescent="0.35">
      <c r="A96" s="6">
        <f t="shared" si="68"/>
        <v>4</v>
      </c>
      <c r="B96" s="6">
        <f t="shared" si="68"/>
        <v>651201178</v>
      </c>
      <c r="C96" s="78" t="str">
        <f t="shared" si="68"/>
        <v>นางสาวศุภิสรา วงศ์สาย</v>
      </c>
      <c r="D96" s="3">
        <f t="shared" si="69"/>
        <v>84.93</v>
      </c>
      <c r="E96" s="8">
        <f t="shared" si="69"/>
        <v>534.54999999999995</v>
      </c>
      <c r="F96" s="204" t="str">
        <f t="shared" si="65"/>
        <v>B+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</row>
    <row r="97" spans="1:20" x14ac:dyDescent="0.35">
      <c r="A97" s="6">
        <f t="shared" si="68"/>
        <v>5</v>
      </c>
      <c r="B97" s="6">
        <f t="shared" si="68"/>
        <v>651201179</v>
      </c>
      <c r="C97" s="78" t="str">
        <f t="shared" si="68"/>
        <v>นางสาวสาวิตรี เขียวบัว</v>
      </c>
      <c r="D97" s="3">
        <f t="shared" si="69"/>
        <v>83.78</v>
      </c>
      <c r="E97" s="8">
        <f t="shared" si="69"/>
        <v>540.76</v>
      </c>
      <c r="F97" s="204" t="str">
        <f t="shared" si="65"/>
        <v>B+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</row>
    <row r="98" spans="1:20" x14ac:dyDescent="0.35">
      <c r="A98" s="6">
        <f t="shared" si="68"/>
        <v>6</v>
      </c>
      <c r="B98" s="6">
        <f t="shared" si="68"/>
        <v>651201180</v>
      </c>
      <c r="C98" s="78" t="str">
        <f t="shared" si="68"/>
        <v>นายสิทธิโชค เสียงหวาน</v>
      </c>
      <c r="D98" s="3">
        <f t="shared" si="69"/>
        <v>87.05</v>
      </c>
      <c r="E98" s="8">
        <f t="shared" si="69"/>
        <v>625.64</v>
      </c>
      <c r="F98" s="204" t="str">
        <f t="shared" si="65"/>
        <v>A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</row>
    <row r="99" spans="1:20" x14ac:dyDescent="0.35">
      <c r="A99" s="6">
        <f t="shared" si="68"/>
        <v>7</v>
      </c>
      <c r="B99" s="6">
        <f t="shared" si="68"/>
        <v>651201181</v>
      </c>
      <c r="C99" s="78" t="str">
        <f t="shared" si="68"/>
        <v>นางสาวสิรินยา จนั ทะคุณ</v>
      </c>
      <c r="D99" s="3">
        <f t="shared" si="69"/>
        <v>84.63</v>
      </c>
      <c r="E99" s="8">
        <f t="shared" si="69"/>
        <v>549.20000000000005</v>
      </c>
      <c r="F99" s="204" t="str">
        <f t="shared" si="65"/>
        <v>B+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</row>
    <row r="100" spans="1:20" x14ac:dyDescent="0.35">
      <c r="A100" s="6">
        <f t="shared" si="68"/>
        <v>8</v>
      </c>
      <c r="B100" s="6">
        <f t="shared" si="68"/>
        <v>651201182</v>
      </c>
      <c r="C100" s="78" t="str">
        <f t="shared" si="68"/>
        <v>นางสาวสิริยากร คุณสิงห์</v>
      </c>
      <c r="D100" s="3">
        <f t="shared" si="69"/>
        <v>79.73</v>
      </c>
      <c r="E100" s="8">
        <f t="shared" si="69"/>
        <v>447.51</v>
      </c>
      <c r="F100" s="204" t="str">
        <f t="shared" si="65"/>
        <v>B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</row>
    <row r="101" spans="1:20" x14ac:dyDescent="0.35">
      <c r="A101" s="6">
        <f t="shared" si="68"/>
        <v>9</v>
      </c>
      <c r="B101" s="6">
        <f t="shared" si="68"/>
        <v>651201183</v>
      </c>
      <c r="C101" s="78" t="str">
        <f t="shared" si="68"/>
        <v>นางสาวสิริยุพา ดงประทีป</v>
      </c>
      <c r="D101" s="3">
        <f t="shared" si="69"/>
        <v>85.38</v>
      </c>
      <c r="E101" s="8">
        <f t="shared" si="69"/>
        <v>550.24</v>
      </c>
      <c r="F101" s="204" t="str">
        <f t="shared" si="65"/>
        <v>A</v>
      </c>
      <c r="G101" s="204"/>
      <c r="H101" s="80"/>
      <c r="I101" s="83" t="s">
        <v>1</v>
      </c>
      <c r="J101" s="83">
        <f>SUM(J92:J100)</f>
        <v>9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</row>
    <row r="102" spans="1:20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</row>
    <row r="103" spans="1:20" x14ac:dyDescent="0.35">
      <c r="C103" s="79"/>
      <c r="D103" s="19"/>
      <c r="E103" s="19"/>
      <c r="F103" s="42"/>
      <c r="G103" s="42"/>
      <c r="H103" s="42"/>
      <c r="I103" s="42"/>
    </row>
    <row r="104" spans="1:20" x14ac:dyDescent="0.35">
      <c r="I104" s="45"/>
      <c r="J104" s="45"/>
    </row>
    <row r="105" spans="1:20" x14ac:dyDescent="0.35">
      <c r="B105" s="85" t="s">
        <v>147</v>
      </c>
      <c r="I105" s="45"/>
      <c r="J105" s="45"/>
      <c r="K105" s="45"/>
      <c r="L105" s="1" t="s">
        <v>2</v>
      </c>
    </row>
    <row r="106" spans="1:20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I106" s="5" t="s">
        <v>38</v>
      </c>
      <c r="J106" s="9"/>
      <c r="L106" s="5"/>
      <c r="O106" s="5" t="s">
        <v>39</v>
      </c>
      <c r="Q106" s="9"/>
    </row>
    <row r="107" spans="1:20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</row>
    <row r="108" spans="1:20" x14ac:dyDescent="0.35">
      <c r="A108" s="6">
        <f>A8</f>
        <v>1</v>
      </c>
      <c r="B108" s="6">
        <f t="shared" ref="B108:C108" si="70">B8</f>
        <v>651201175</v>
      </c>
      <c r="C108" s="78" t="str">
        <f t="shared" si="70"/>
        <v>นางสาวศศิวรรณ พิมพิลา</v>
      </c>
      <c r="D108" s="3">
        <f>ROUND(SUM(E8,H8,K8,N8,Q8,T8,E24,H24,K24,N24,Q24,T24,E41,H41,K41,N41,Q41,T41,E58,H58,K58,N58,Q58,T58,E75,H75,K75,N75,Q75,T75),2)</f>
        <v>78.760000000000005</v>
      </c>
      <c r="E108" s="3">
        <f>ROUND(SUM(F8,I8,L8,O8,R8,U8,F24,I24,L24,O24,R24,U24,F41,I41,L41,O41,R41,U41,F58,I58,L58,O58,R58,U58,F75,I75,L75,O75,R75,U75),2)</f>
        <v>361.49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I/E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</row>
    <row r="109" spans="1:20" x14ac:dyDescent="0.35">
      <c r="A109" s="6">
        <f t="shared" ref="A109:C117" si="72">A9</f>
        <v>2</v>
      </c>
      <c r="B109" s="6">
        <f t="shared" si="72"/>
        <v>651201176</v>
      </c>
      <c r="C109" s="78" t="str">
        <f t="shared" si="72"/>
        <v>นางสาวศิริประภา จนั สนิท</v>
      </c>
      <c r="D109" s="3">
        <f t="shared" ref="D109:E117" si="73">ROUND(SUM(E9,H9,K9,N9,Q9,T9,E25,H25,K25,N25,Q25,T25,E42,H42,K42,N42,Q42,T42,E59,H59,K59,N59,Q59,T59,E76,H76,K76,N76,Q76,T76),2)</f>
        <v>84.67</v>
      </c>
      <c r="E109" s="3">
        <f t="shared" si="73"/>
        <v>556.22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B+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</row>
    <row r="110" spans="1:20" x14ac:dyDescent="0.35">
      <c r="A110" s="6">
        <f t="shared" si="72"/>
        <v>3</v>
      </c>
      <c r="B110" s="6">
        <f t="shared" si="72"/>
        <v>651201177</v>
      </c>
      <c r="C110" s="78" t="str">
        <f t="shared" si="72"/>
        <v>นางสาวศุภลักษณ์ อุปดี</v>
      </c>
      <c r="D110" s="3">
        <f t="shared" si="73"/>
        <v>84.7</v>
      </c>
      <c r="E110" s="3">
        <f t="shared" si="73"/>
        <v>544.45000000000005</v>
      </c>
      <c r="F110" s="7" t="str">
        <f t="shared" si="74"/>
        <v>B+</v>
      </c>
      <c r="G110" s="7" t="str">
        <f t="shared" si="75"/>
        <v>-</v>
      </c>
      <c r="I110" s="47">
        <f>IF(OR($E$128=8,$E$128=6,$E$128=4),$J$111+0.01,"-")</f>
        <v>589.39</v>
      </c>
      <c r="J110" s="47">
        <f>IF(OR($E$128=8,$E$128=6,$E$128=4),$I$110+$E$129,"-")</f>
        <v>655.43</v>
      </c>
      <c r="K110" s="91">
        <f t="shared" si="76"/>
        <v>66.039999999999964</v>
      </c>
      <c r="L110" s="7" t="str">
        <f>IF($E$128=8,$C$126,IF($E$128=6,$C$125,IF($E$128=4,$C$124,"-")))</f>
        <v>A</v>
      </c>
      <c r="M110" s="27">
        <f t="shared" si="77"/>
        <v>1</v>
      </c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</row>
    <row r="111" spans="1:20" x14ac:dyDescent="0.35">
      <c r="A111" s="6">
        <f t="shared" si="72"/>
        <v>4</v>
      </c>
      <c r="B111" s="6">
        <f t="shared" si="72"/>
        <v>651201178</v>
      </c>
      <c r="C111" s="78" t="str">
        <f t="shared" si="72"/>
        <v>นางสาวศุภิสรา วงศ์สาย</v>
      </c>
      <c r="D111" s="3">
        <f t="shared" si="73"/>
        <v>84.93</v>
      </c>
      <c r="E111" s="3">
        <f t="shared" si="73"/>
        <v>534.54999999999995</v>
      </c>
      <c r="F111" s="7" t="str">
        <f t="shared" si="74"/>
        <v>B+</v>
      </c>
      <c r="G111" s="7" t="str">
        <f t="shared" si="75"/>
        <v>-</v>
      </c>
      <c r="I111" s="88">
        <f>IF(OR($E$128=2,$E$128=4,$E$128=6,$E$128=8),$E$124,"-")</f>
        <v>523.34</v>
      </c>
      <c r="J111" s="61">
        <f>IF(OR($E$128=2,$E$128=4,$E$128=6,$E$128=8),$E$124+E129,"-")</f>
        <v>589.38</v>
      </c>
      <c r="K111" s="91">
        <f t="shared" si="76"/>
        <v>66.039999999999964</v>
      </c>
      <c r="L111" s="7" t="str">
        <f>IF($E$128=8,$C$127,IF($E$128=6,$C$126,IF($E$128=4,$C$125,IF($E$128=2,$C$124,"-"))))</f>
        <v>B+</v>
      </c>
      <c r="M111" s="27">
        <f t="shared" si="77"/>
        <v>6</v>
      </c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</row>
    <row r="112" spans="1:20" x14ac:dyDescent="0.35">
      <c r="A112" s="6">
        <f t="shared" si="72"/>
        <v>5</v>
      </c>
      <c r="B112" s="6">
        <f t="shared" si="72"/>
        <v>651201179</v>
      </c>
      <c r="C112" s="78" t="str">
        <f t="shared" si="72"/>
        <v>นางสาวสาวิตรี เขียวบัว</v>
      </c>
      <c r="D112" s="3">
        <f t="shared" si="73"/>
        <v>83.78</v>
      </c>
      <c r="E112" s="3">
        <f t="shared" si="73"/>
        <v>540.76</v>
      </c>
      <c r="F112" s="7" t="str">
        <f t="shared" si="74"/>
        <v>B+</v>
      </c>
      <c r="G112" s="7" t="str">
        <f t="shared" si="75"/>
        <v>-</v>
      </c>
      <c r="I112" s="47">
        <f>IF(OR($E$128=2,$E$128=4,$E$128=6,$E$128=8),$J$112-$E$129,"-")</f>
        <v>457.29</v>
      </c>
      <c r="J112" s="61">
        <f>IF(OR($E$128=2,$E$128=4,$E$128=6,$E$128=8),$E$124-0.01,"-")</f>
        <v>523.33000000000004</v>
      </c>
      <c r="K112" s="91">
        <f t="shared" si="76"/>
        <v>66.04000000000002</v>
      </c>
      <c r="L112" s="7" t="str">
        <f>IF($E$128=8,$C$128,IF($E$128=6,$C$127,IF($E$128=4,$C$126,IF($E$128=2,$C$125,"-"))))</f>
        <v>B</v>
      </c>
      <c r="M112" s="27">
        <f t="shared" si="77"/>
        <v>0</v>
      </c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</row>
    <row r="113" spans="1:20" x14ac:dyDescent="0.35">
      <c r="A113" s="6">
        <f t="shared" si="72"/>
        <v>6</v>
      </c>
      <c r="B113" s="6">
        <f t="shared" si="72"/>
        <v>651201180</v>
      </c>
      <c r="C113" s="78" t="str">
        <f t="shared" si="72"/>
        <v>นายสิทธิโชค เสียงหวาน</v>
      </c>
      <c r="D113" s="3">
        <f t="shared" si="73"/>
        <v>87.05</v>
      </c>
      <c r="E113" s="3">
        <f t="shared" si="73"/>
        <v>625.64</v>
      </c>
      <c r="F113" s="7" t="str">
        <f t="shared" si="74"/>
        <v>A</v>
      </c>
      <c r="G113" s="7" t="str">
        <f t="shared" si="75"/>
        <v>-</v>
      </c>
      <c r="I113" s="47">
        <f>IF(OR($E$128=4,$E$128=6,$E$128=8),$J$113-$E$129,"-")</f>
        <v>391.24</v>
      </c>
      <c r="J113" s="47">
        <f>IF(OR($E$128=8,$E$128=6,$E$128=4),$I$112-0.01,"-")</f>
        <v>457.28000000000003</v>
      </c>
      <c r="K113" s="91">
        <f t="shared" si="76"/>
        <v>66.04000000000002</v>
      </c>
      <c r="L113" s="7" t="str">
        <f>IF($E$128=8,$C$129,IF($E$128=6,$C$128,IF($E$128=4,$C$127,"-")))</f>
        <v>C+</v>
      </c>
      <c r="M113" s="27">
        <f t="shared" si="77"/>
        <v>1</v>
      </c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</row>
    <row r="114" spans="1:20" ht="22" thickBot="1" x14ac:dyDescent="0.4">
      <c r="A114" s="6">
        <f t="shared" si="72"/>
        <v>7</v>
      </c>
      <c r="B114" s="6">
        <f t="shared" si="72"/>
        <v>651201181</v>
      </c>
      <c r="C114" s="78" t="str">
        <f t="shared" si="72"/>
        <v>นางสาวสิรินยา จนั ทะคุณ</v>
      </c>
      <c r="D114" s="3">
        <f t="shared" si="73"/>
        <v>84.63</v>
      </c>
      <c r="E114" s="3">
        <f t="shared" si="73"/>
        <v>549.20000000000005</v>
      </c>
      <c r="F114" s="7" t="str">
        <f t="shared" si="74"/>
        <v>B+</v>
      </c>
      <c r="G114" s="7" t="str">
        <f t="shared" si="75"/>
        <v>-</v>
      </c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</row>
    <row r="115" spans="1:20" ht="22" thickBot="1" x14ac:dyDescent="0.4">
      <c r="A115" s="6">
        <f t="shared" si="72"/>
        <v>8</v>
      </c>
      <c r="B115" s="6">
        <f t="shared" si="72"/>
        <v>651201182</v>
      </c>
      <c r="C115" s="78" t="str">
        <f t="shared" si="72"/>
        <v>นางสาวสิริยากร คุณสิงห์</v>
      </c>
      <c r="D115" s="3">
        <f t="shared" si="73"/>
        <v>79.73</v>
      </c>
      <c r="E115" s="3">
        <f t="shared" si="73"/>
        <v>447.51</v>
      </c>
      <c r="F115" s="7" t="str">
        <f t="shared" si="74"/>
        <v>C+</v>
      </c>
      <c r="G115" s="7" t="str">
        <f t="shared" si="75"/>
        <v>-</v>
      </c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O115" s="259" t="s">
        <v>1</v>
      </c>
      <c r="P115" s="259"/>
      <c r="Q115" s="259"/>
      <c r="R115" s="259"/>
      <c r="S115" s="259"/>
      <c r="T115" s="94">
        <f>SUM(T108:T114)</f>
        <v>0</v>
      </c>
    </row>
    <row r="116" spans="1:20" ht="22" thickBot="1" x14ac:dyDescent="0.4">
      <c r="A116" s="6">
        <f t="shared" si="72"/>
        <v>9</v>
      </c>
      <c r="B116" s="6">
        <f t="shared" si="72"/>
        <v>651201183</v>
      </c>
      <c r="C116" s="78" t="str">
        <f t="shared" si="72"/>
        <v>นางสาวสิริยุพา ดงประทีป</v>
      </c>
      <c r="D116" s="3">
        <f t="shared" si="73"/>
        <v>85.38</v>
      </c>
      <c r="E116" s="3">
        <f t="shared" si="73"/>
        <v>550.24</v>
      </c>
      <c r="F116" s="7" t="str">
        <f t="shared" si="74"/>
        <v>B+</v>
      </c>
      <c r="G116" s="7" t="str">
        <f t="shared" si="75"/>
        <v>-</v>
      </c>
      <c r="I116" s="218" t="s">
        <v>1</v>
      </c>
      <c r="J116" s="219"/>
      <c r="K116" s="219"/>
      <c r="L116" s="220"/>
      <c r="M116" s="94">
        <f>SUM(M108:M115)</f>
        <v>8</v>
      </c>
    </row>
    <row r="117" spans="1:20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</row>
    <row r="118" spans="1:20" x14ac:dyDescent="0.35">
      <c r="C118" s="79"/>
      <c r="D118" s="9"/>
      <c r="E118" s="9"/>
      <c r="F118" s="42"/>
      <c r="G118" s="42"/>
    </row>
    <row r="119" spans="1:20" x14ac:dyDescent="0.35">
      <c r="C119" s="79"/>
      <c r="D119" s="9"/>
      <c r="E119" s="9"/>
      <c r="F119" s="42"/>
      <c r="G119" s="42"/>
    </row>
    <row r="120" spans="1:20" x14ac:dyDescent="0.35">
      <c r="C120" s="79"/>
      <c r="D120" s="9"/>
      <c r="E120" s="9"/>
      <c r="F120" s="42"/>
      <c r="G120" s="42"/>
    </row>
    <row r="121" spans="1:20" x14ac:dyDescent="0.35">
      <c r="C121" s="79"/>
      <c r="D121" s="9"/>
      <c r="E121" s="9"/>
      <c r="F121" s="42"/>
      <c r="G121" s="42"/>
    </row>
    <row r="122" spans="1:20" x14ac:dyDescent="0.35">
      <c r="C122" s="79"/>
      <c r="D122" s="9"/>
      <c r="E122" s="9"/>
      <c r="F122" s="42"/>
      <c r="G122" s="42"/>
    </row>
    <row r="124" spans="1:20" x14ac:dyDescent="0.35"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523.34</v>
      </c>
    </row>
    <row r="125" spans="1:20" x14ac:dyDescent="0.35"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625.64</v>
      </c>
      <c r="O125" s="1" t="s">
        <v>154</v>
      </c>
    </row>
    <row r="126" spans="1:20" x14ac:dyDescent="0.35"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361.49</v>
      </c>
      <c r="O126" s="1">
        <v>1</v>
      </c>
      <c r="P126" s="1" t="s">
        <v>137</v>
      </c>
    </row>
    <row r="127" spans="1:20" x14ac:dyDescent="0.35"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264.14999999999998</v>
      </c>
      <c r="O127" s="1">
        <v>2</v>
      </c>
      <c r="P127" s="1" t="s">
        <v>155</v>
      </c>
    </row>
    <row r="128" spans="1:20" x14ac:dyDescent="0.35"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O128" s="1">
        <v>3</v>
      </c>
      <c r="P128" s="1" t="s">
        <v>156</v>
      </c>
    </row>
    <row r="129" spans="1:19" x14ac:dyDescent="0.35"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66.040000000000006</v>
      </c>
      <c r="O129" s="202"/>
      <c r="P129" s="202"/>
      <c r="Q129" s="202"/>
      <c r="R129" s="202"/>
      <c r="S129" s="202"/>
    </row>
    <row r="130" spans="1:19" x14ac:dyDescent="0.35"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O130" s="202"/>
      <c r="P130" s="202"/>
      <c r="Q130" s="202"/>
      <c r="R130" s="202"/>
      <c r="S130" s="202"/>
    </row>
    <row r="131" spans="1:19" x14ac:dyDescent="0.35">
      <c r="B131" s="6">
        <f>$B$124-3.5</f>
        <v>0.5</v>
      </c>
      <c r="C131" s="6" t="str">
        <f t="shared" si="80"/>
        <v>E</v>
      </c>
      <c r="O131" s="221"/>
      <c r="P131" s="221"/>
      <c r="Q131" s="221"/>
      <c r="R131" s="221"/>
      <c r="S131" s="221"/>
    </row>
    <row r="132" spans="1:19" x14ac:dyDescent="0.35">
      <c r="B132" s="6">
        <f>$B$124-4</f>
        <v>0</v>
      </c>
      <c r="C132" s="6" t="str">
        <f>IF(B132=4,"A",IF(B132=3.5,"B+",IF(B132=3,"B",IF(B132=2.5,"C+",IF(B132=2,"C",IF(B132=1.5,"D+",IF(B132=1,"D","E")))))))</f>
        <v>E</v>
      </c>
    </row>
    <row r="136" spans="1:19" x14ac:dyDescent="0.35">
      <c r="C136" s="256" t="s">
        <v>188</v>
      </c>
      <c r="D136" s="256"/>
      <c r="E136" s="256"/>
      <c r="G136" s="1">
        <v>1</v>
      </c>
    </row>
    <row r="137" spans="1:19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</row>
    <row r="138" spans="1:19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</row>
    <row r="139" spans="1:19" x14ac:dyDescent="0.35">
      <c r="A139" s="6">
        <f>A8</f>
        <v>1</v>
      </c>
      <c r="B139" s="6">
        <f t="shared" ref="B139:C139" si="81">B8</f>
        <v>651201175</v>
      </c>
      <c r="C139" s="78" t="str">
        <f t="shared" si="81"/>
        <v>นางสาวศศิวรรณ พิมพิลา</v>
      </c>
      <c r="D139" s="3">
        <f>D93</f>
        <v>78.760000000000005</v>
      </c>
      <c r="E139" s="3">
        <f>E93</f>
        <v>361.49</v>
      </c>
      <c r="F139" s="204" t="str">
        <f>IF($G$136=1,F93,IF($G$136=2,F108,G108))</f>
        <v>B</v>
      </c>
      <c r="G139" s="204"/>
    </row>
    <row r="140" spans="1:19" x14ac:dyDescent="0.35">
      <c r="A140" s="6">
        <f t="shared" ref="A140:C148" si="82">A9</f>
        <v>2</v>
      </c>
      <c r="B140" s="6">
        <f t="shared" si="82"/>
        <v>651201176</v>
      </c>
      <c r="C140" s="78" t="str">
        <f t="shared" si="82"/>
        <v>นางสาวศิริประภา จนั สนิท</v>
      </c>
      <c r="D140" s="3">
        <f t="shared" ref="D140:E148" si="83">D94</f>
        <v>84.67</v>
      </c>
      <c r="E140" s="3">
        <f t="shared" si="83"/>
        <v>556.22</v>
      </c>
      <c r="F140" s="204" t="str">
        <f t="shared" ref="F140:F148" si="84">IF($G$136=1,F94,IF($G$136=2,F109,G109))</f>
        <v>B+</v>
      </c>
      <c r="G140" s="204"/>
    </row>
    <row r="141" spans="1:19" x14ac:dyDescent="0.35">
      <c r="A141" s="6">
        <f t="shared" si="82"/>
        <v>3</v>
      </c>
      <c r="B141" s="6">
        <f t="shared" si="82"/>
        <v>651201177</v>
      </c>
      <c r="C141" s="78" t="str">
        <f t="shared" si="82"/>
        <v>นางสาวศุภลักษณ์ อุปดี</v>
      </c>
      <c r="D141" s="3">
        <f t="shared" si="83"/>
        <v>84.7</v>
      </c>
      <c r="E141" s="3">
        <f t="shared" si="83"/>
        <v>544.45000000000005</v>
      </c>
      <c r="F141" s="204" t="str">
        <f t="shared" si="84"/>
        <v>B+</v>
      </c>
      <c r="G141" s="204"/>
    </row>
    <row r="142" spans="1:19" x14ac:dyDescent="0.35">
      <c r="A142" s="6">
        <f t="shared" si="82"/>
        <v>4</v>
      </c>
      <c r="B142" s="6">
        <f t="shared" si="82"/>
        <v>651201178</v>
      </c>
      <c r="C142" s="78" t="str">
        <f t="shared" si="82"/>
        <v>นางสาวศุภิสรา วงศ์สาย</v>
      </c>
      <c r="D142" s="3">
        <f t="shared" si="83"/>
        <v>84.93</v>
      </c>
      <c r="E142" s="3">
        <f t="shared" si="83"/>
        <v>534.54999999999995</v>
      </c>
      <c r="F142" s="204" t="str">
        <f t="shared" si="84"/>
        <v>B+</v>
      </c>
      <c r="G142" s="204"/>
    </row>
    <row r="143" spans="1:19" x14ac:dyDescent="0.35">
      <c r="A143" s="6">
        <f t="shared" si="82"/>
        <v>5</v>
      </c>
      <c r="B143" s="6">
        <f t="shared" si="82"/>
        <v>651201179</v>
      </c>
      <c r="C143" s="78" t="str">
        <f t="shared" si="82"/>
        <v>นางสาวสาวิตรี เขียวบัว</v>
      </c>
      <c r="D143" s="3">
        <f t="shared" si="83"/>
        <v>83.78</v>
      </c>
      <c r="E143" s="3">
        <f t="shared" si="83"/>
        <v>540.76</v>
      </c>
      <c r="F143" s="204" t="str">
        <f t="shared" si="84"/>
        <v>B+</v>
      </c>
      <c r="G143" s="204"/>
    </row>
    <row r="144" spans="1:19" x14ac:dyDescent="0.35">
      <c r="A144" s="6">
        <f t="shared" si="82"/>
        <v>6</v>
      </c>
      <c r="B144" s="6">
        <f t="shared" si="82"/>
        <v>651201180</v>
      </c>
      <c r="C144" s="78" t="str">
        <f t="shared" si="82"/>
        <v>นายสิทธิโชค เสียงหวาน</v>
      </c>
      <c r="D144" s="3">
        <f t="shared" si="83"/>
        <v>87.05</v>
      </c>
      <c r="E144" s="3">
        <f t="shared" si="83"/>
        <v>625.64</v>
      </c>
      <c r="F144" s="204" t="str">
        <f t="shared" si="84"/>
        <v>A</v>
      </c>
      <c r="G144" s="204"/>
    </row>
    <row r="145" spans="1:7" x14ac:dyDescent="0.35">
      <c r="A145" s="6">
        <f t="shared" si="82"/>
        <v>7</v>
      </c>
      <c r="B145" s="6">
        <f t="shared" si="82"/>
        <v>651201181</v>
      </c>
      <c r="C145" s="78" t="str">
        <f t="shared" si="82"/>
        <v>นางสาวสิรินยา จนั ทะคุณ</v>
      </c>
      <c r="D145" s="3">
        <f t="shared" si="83"/>
        <v>84.63</v>
      </c>
      <c r="E145" s="3">
        <f t="shared" si="83"/>
        <v>549.20000000000005</v>
      </c>
      <c r="F145" s="204" t="str">
        <f t="shared" si="84"/>
        <v>B+</v>
      </c>
      <c r="G145" s="204"/>
    </row>
    <row r="146" spans="1:7" x14ac:dyDescent="0.35">
      <c r="A146" s="6">
        <f t="shared" si="82"/>
        <v>8</v>
      </c>
      <c r="B146" s="6">
        <f t="shared" si="82"/>
        <v>651201182</v>
      </c>
      <c r="C146" s="78" t="str">
        <f t="shared" si="82"/>
        <v>นางสาวสิริยากร คุณสิงห์</v>
      </c>
      <c r="D146" s="3">
        <f t="shared" si="83"/>
        <v>79.73</v>
      </c>
      <c r="E146" s="3">
        <f t="shared" si="83"/>
        <v>447.51</v>
      </c>
      <c r="F146" s="204" t="str">
        <f t="shared" si="84"/>
        <v>B</v>
      </c>
      <c r="G146" s="204"/>
    </row>
    <row r="147" spans="1:7" x14ac:dyDescent="0.35">
      <c r="A147" s="6">
        <f t="shared" si="82"/>
        <v>9</v>
      </c>
      <c r="B147" s="6">
        <f t="shared" si="82"/>
        <v>651201183</v>
      </c>
      <c r="C147" s="78" t="str">
        <f t="shared" si="82"/>
        <v>นางสาวสิริยุพา ดงประทีป</v>
      </c>
      <c r="D147" s="3">
        <f t="shared" si="83"/>
        <v>85.38</v>
      </c>
      <c r="E147" s="3">
        <f t="shared" si="83"/>
        <v>550.24</v>
      </c>
      <c r="F147" s="204" t="str">
        <f t="shared" si="84"/>
        <v>A</v>
      </c>
      <c r="G147" s="204"/>
    </row>
    <row r="148" spans="1:7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</row>
  </sheetData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393" r:id="rId3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330200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D877-459E-2243-8F86-71D1A1E9F139}">
  <dimension ref="A1:U149"/>
  <sheetViews>
    <sheetView zoomScale="83" workbookViewId="0">
      <selection sqref="A1:U3"/>
    </sheetView>
  </sheetViews>
  <sheetFormatPr baseColWidth="10" defaultRowHeight="15" x14ac:dyDescent="0.2"/>
  <sheetData>
    <row r="1" spans="1:21" ht="21" x14ac:dyDescent="0.2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21" x14ac:dyDescent="0.2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1" x14ac:dyDescent="0.2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1" x14ac:dyDescent="0.35">
      <c r="A4" s="2"/>
      <c r="B4" s="2"/>
      <c r="C4" s="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1" x14ac:dyDescent="0.2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ht="21" x14ac:dyDescent="0.2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ht="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304">
        <v>651201184</v>
      </c>
      <c r="C8" s="304" t="s">
        <v>299</v>
      </c>
      <c r="D8" s="69">
        <v>166</v>
      </c>
      <c r="E8" s="8">
        <f>IF(D8="-","-",IF(D8=0,0,(D8*$E$7)/$D$7))</f>
        <v>56.914285714285711</v>
      </c>
      <c r="F8" s="3">
        <f>IF(D8="-","-",IF(D8=0,0,IF($D$19=0,50,(50+(10*(STANDARDIZE(D8,$D$18,$D$19)))))*$F$7))</f>
        <v>397.48348733519077</v>
      </c>
      <c r="G8" s="69">
        <v>68</v>
      </c>
      <c r="H8" s="8">
        <f>IF(G8="-","-",IF(G8=0,0,(G8*$H$7)/$G$7))</f>
        <v>9.0666666666666664</v>
      </c>
      <c r="I8" s="3">
        <f>IF(G8="-","-",IF(G8=0,0,IF($G$19=0,50,(50+(10*(STANDARDIZE(G8,$G$18,$G$19)))))*$I$7))</f>
        <v>66.004506355832788</v>
      </c>
      <c r="J8" s="69">
        <v>42</v>
      </c>
      <c r="K8" s="8">
        <f>IF(J8="-","-",IF(J8=0,0,(J8*$K$7)/$J$7))</f>
        <v>8.4</v>
      </c>
      <c r="L8" s="3">
        <f>IF(J8="-","-",IF(J8=0,0,IF(J19=0,50,(50+(10*(STANDARDIZE(J8,$J$18,$J$19)))))*$L$7))</f>
        <v>56.884869911026378</v>
      </c>
      <c r="M8" s="69">
        <v>28</v>
      </c>
      <c r="N8" s="8">
        <f>IF(M8="-","-",IF(M8=0,0,(M8*$N$7)/$M$7))</f>
        <v>4.666666666666667</v>
      </c>
      <c r="O8" s="3">
        <f>IF(M8="-","-",IF(M8=0,0,IF($M$19=0,50,(50+(10*(STANDARDIZE(M8,$M$18,$M$19)))))*$O$7))</f>
        <v>34.245003270420483</v>
      </c>
      <c r="P8" s="69">
        <v>82</v>
      </c>
      <c r="Q8" s="8">
        <f>IF(P8="-","-",IF(P8=0,0,(P8*$Q$7)/$P$7))</f>
        <v>9.1111111111111107</v>
      </c>
      <c r="R8" s="3">
        <f>IF(P8="-","-",IF(P8=0,0,IF($P$19=0,50,(50+(10*(STANDARDIZE(P8,$P$18,$P$19)))))*$R$7))</f>
        <v>50</v>
      </c>
      <c r="S8">
        <v>14</v>
      </c>
      <c r="T8" s="8">
        <f>IF(S8="-","-",IF(S8=0,0,(S8*$T$7)/$S$7))</f>
        <v>3.5</v>
      </c>
      <c r="U8" s="3">
        <f>IF(S8="-","-",IF(S8=0,0,IF($S$19=0,50,(50+(10*(STANDARDIZE(S8,$S$18,$S$19)))))*$U$7))</f>
        <v>61.547005383792516</v>
      </c>
    </row>
    <row r="9" spans="1:21" ht="27" x14ac:dyDescent="0.45">
      <c r="A9" s="95">
        <v>2</v>
      </c>
      <c r="B9" s="304">
        <v>651201185</v>
      </c>
      <c r="C9" s="304" t="s">
        <v>300</v>
      </c>
      <c r="D9" s="69">
        <v>150</v>
      </c>
      <c r="E9" s="8">
        <f t="shared" ref="E9:E17" si="0">IF(D9="-","-",IF(D9=0,0,(D9*$E$7)/$D$7))</f>
        <v>51.428571428571431</v>
      </c>
      <c r="F9" s="3">
        <f t="shared" ref="F9:F16" si="1">IF(D9="-","-",IF(D9=0,0,IF($D$19=0,50,(50+(10*(STANDARDIZE(D9,$D$18,$D$19)))))*$F$7))</f>
        <v>313.92621247645582</v>
      </c>
      <c r="G9" s="69">
        <v>59</v>
      </c>
      <c r="H9" s="8">
        <f t="shared" ref="H9:H17" si="2">IF(G9="-","-",IF(G9=0,0,(G9*$H$7)/$G$7))</f>
        <v>7.8666666666666663</v>
      </c>
      <c r="I9" s="3">
        <f t="shared" ref="I9:I17" si="3">IF(G9="-","-",IF(G9=0,0,IF($G$19=0,50,(50+(10*(STANDARDIZE(G9,$G$18,$G$19)))))*$I$7))</f>
        <v>55.01836216242215</v>
      </c>
      <c r="J9" s="69">
        <v>40</v>
      </c>
      <c r="K9" s="8">
        <f t="shared" ref="K9:K17" si="4">IF(J9="-","-",IF(J9=0,0,(J9*$K$7)/$J$7))</f>
        <v>8</v>
      </c>
      <c r="L9" s="3">
        <f t="shared" ref="L9:L17" si="5">IF(J9="-","-",IF(J9=0,0,IF(J20=0,50,(50+(10*(STANDARDIZE(J9,$J$18,$J$19)))))*$L$7))</f>
        <v>50</v>
      </c>
      <c r="M9" s="69">
        <v>24</v>
      </c>
      <c r="N9" s="8">
        <f t="shared" ref="N9:N17" si="6">IF(M9="-","-",IF(M9=0,0,(M9*$N$7)/$M$7))</f>
        <v>4</v>
      </c>
      <c r="O9" s="3">
        <f t="shared" ref="O9:O17" si="7">IF(M9="-","-",IF(M9=0,0,IF($M$19=0,50,(50+(10*(STANDARDIZE(M9,$M$18,$M$19)))))*$O$7))</f>
        <v>25.924500327042047</v>
      </c>
      <c r="P9" s="69">
        <v>82</v>
      </c>
      <c r="Q9" s="8">
        <f t="shared" ref="Q9:Q17" si="8">IF(P9="-","-",IF(P9=0,0,(P9*$Q$7)/$P$7))</f>
        <v>9.1111111111111107</v>
      </c>
      <c r="R9" s="3">
        <f t="shared" ref="R9:R17" si="9">IF(P9="-","-",IF(P9=0,0,IF($P$19=0,50,(50+(10*(STANDARDIZE(P9,$P$18,$P$19)))))*$R$7))</f>
        <v>50</v>
      </c>
      <c r="S9">
        <v>10</v>
      </c>
      <c r="T9" s="8">
        <f t="shared" ref="T9:T17" si="10">IF(S9="-","-",IF(S9=0,0,(S9*$T$7)/$S$7))</f>
        <v>2.5</v>
      </c>
      <c r="U9" s="3">
        <f t="shared" ref="U9:U17" si="11">IF(S9="-","-",IF(S9=0,0,IF($S$19=0,50,(50+(10*(STANDARDIZE(S9,$S$18,$S$19)))))*$U$7))</f>
        <v>38.452994616207484</v>
      </c>
    </row>
    <row r="10" spans="1:21" ht="27" x14ac:dyDescent="0.45">
      <c r="A10" s="95">
        <v>3</v>
      </c>
      <c r="B10" s="304">
        <v>651201186</v>
      </c>
      <c r="C10" s="304" t="s">
        <v>301</v>
      </c>
      <c r="D10" s="69">
        <v>152</v>
      </c>
      <c r="E10" s="8">
        <f t="shared" si="0"/>
        <v>52.114285714285714</v>
      </c>
      <c r="F10" s="3">
        <f t="shared" si="1"/>
        <v>324.37087183379765</v>
      </c>
      <c r="G10" s="69">
        <v>57</v>
      </c>
      <c r="H10" s="8">
        <f t="shared" si="2"/>
        <v>7.6</v>
      </c>
      <c r="I10" s="3">
        <f t="shared" si="3"/>
        <v>52.576996786108673</v>
      </c>
      <c r="J10" s="69">
        <v>38</v>
      </c>
      <c r="K10" s="8">
        <f t="shared" si="4"/>
        <v>7.6</v>
      </c>
      <c r="L10" s="3">
        <f t="shared" si="5"/>
        <v>50</v>
      </c>
      <c r="M10" s="69">
        <v>24</v>
      </c>
      <c r="N10" s="8">
        <f t="shared" si="6"/>
        <v>4</v>
      </c>
      <c r="O10" s="3">
        <f t="shared" si="7"/>
        <v>25.924500327042047</v>
      </c>
      <c r="P10" s="69">
        <v>82</v>
      </c>
      <c r="Q10" s="8">
        <f t="shared" si="8"/>
        <v>9.1111111111111107</v>
      </c>
      <c r="R10" s="3">
        <f t="shared" si="9"/>
        <v>50</v>
      </c>
      <c r="S10">
        <v>13</v>
      </c>
      <c r="T10" s="8">
        <f t="shared" si="10"/>
        <v>3.25</v>
      </c>
      <c r="U10" s="3">
        <f t="shared" si="11"/>
        <v>55.773502691896255</v>
      </c>
    </row>
    <row r="11" spans="1:21" ht="27" x14ac:dyDescent="0.45">
      <c r="A11" s="95">
        <v>4</v>
      </c>
      <c r="B11" s="304">
        <v>651201187</v>
      </c>
      <c r="C11" s="304" t="s">
        <v>302</v>
      </c>
      <c r="D11" s="69">
        <v>148</v>
      </c>
      <c r="E11" s="8">
        <f t="shared" si="0"/>
        <v>50.74285714285714</v>
      </c>
      <c r="F11" s="3">
        <f t="shared" si="1"/>
        <v>303.48155311911393</v>
      </c>
      <c r="G11" s="69">
        <v>49</v>
      </c>
      <c r="H11" s="8">
        <f t="shared" si="2"/>
        <v>6.5333333333333332</v>
      </c>
      <c r="I11" s="3">
        <f t="shared" si="3"/>
        <v>42.81153528085477</v>
      </c>
      <c r="J11" s="69">
        <v>43</v>
      </c>
      <c r="K11" s="8">
        <f t="shared" si="4"/>
        <v>8.6</v>
      </c>
      <c r="L11" s="3">
        <f t="shared" si="5"/>
        <v>59.578949441427994</v>
      </c>
      <c r="M11" s="69">
        <v>24</v>
      </c>
      <c r="N11" s="8">
        <f t="shared" si="6"/>
        <v>4</v>
      </c>
      <c r="O11" s="3">
        <f t="shared" si="7"/>
        <v>25.924500327042047</v>
      </c>
      <c r="P11" s="69">
        <v>82</v>
      </c>
      <c r="Q11" s="8">
        <f t="shared" si="8"/>
        <v>9.1111111111111107</v>
      </c>
      <c r="R11" s="3">
        <f t="shared" si="9"/>
        <v>50</v>
      </c>
      <c r="S11">
        <v>13</v>
      </c>
      <c r="T11" s="8">
        <f t="shared" si="10"/>
        <v>3.25</v>
      </c>
      <c r="U11" s="3">
        <f t="shared" si="11"/>
        <v>55.773502691896255</v>
      </c>
    </row>
    <row r="12" spans="1:21" ht="27" x14ac:dyDescent="0.45">
      <c r="A12" s="95">
        <v>5</v>
      </c>
      <c r="B12" s="304">
        <v>651201188</v>
      </c>
      <c r="C12" s="304" t="s">
        <v>303</v>
      </c>
      <c r="D12" s="69">
        <v>142</v>
      </c>
      <c r="E12" s="8">
        <f t="shared" si="0"/>
        <v>48.685714285714283</v>
      </c>
      <c r="F12" s="3">
        <f t="shared" si="1"/>
        <v>272.14757504708831</v>
      </c>
      <c r="G12" s="69">
        <v>49</v>
      </c>
      <c r="H12" s="8">
        <f t="shared" si="2"/>
        <v>6.5333333333333332</v>
      </c>
      <c r="I12" s="3">
        <f t="shared" si="3"/>
        <v>42.81153528085477</v>
      </c>
      <c r="J12" s="69">
        <v>38</v>
      </c>
      <c r="K12" s="8">
        <f t="shared" si="4"/>
        <v>7.6</v>
      </c>
      <c r="L12" s="3">
        <f t="shared" si="5"/>
        <v>50</v>
      </c>
      <c r="M12" s="69">
        <v>22</v>
      </c>
      <c r="N12" s="8">
        <f t="shared" si="6"/>
        <v>3.6666666666666665</v>
      </c>
      <c r="O12" s="3">
        <f t="shared" si="7"/>
        <v>21.764248855352825</v>
      </c>
      <c r="P12" s="69">
        <v>82</v>
      </c>
      <c r="Q12" s="8">
        <f t="shared" si="8"/>
        <v>9.1111111111111107</v>
      </c>
      <c r="R12" s="3">
        <f t="shared" si="9"/>
        <v>50</v>
      </c>
      <c r="S12">
        <v>10</v>
      </c>
      <c r="T12" s="8">
        <f t="shared" si="10"/>
        <v>2.5</v>
      </c>
      <c r="U12" s="3">
        <f t="shared" si="11"/>
        <v>38.452994616207484</v>
      </c>
    </row>
    <row r="13" spans="1:21" ht="27" x14ac:dyDescent="0.45">
      <c r="A13" s="95">
        <v>6</v>
      </c>
      <c r="B13" s="304">
        <v>651201189</v>
      </c>
      <c r="C13" s="304" t="s">
        <v>304</v>
      </c>
      <c r="D13" s="69">
        <v>144</v>
      </c>
      <c r="E13" s="8">
        <f t="shared" si="0"/>
        <v>49.371428571428574</v>
      </c>
      <c r="F13" s="3">
        <f t="shared" si="1"/>
        <v>282.59223440443014</v>
      </c>
      <c r="G13" s="69">
        <v>52</v>
      </c>
      <c r="H13" s="8">
        <f t="shared" si="2"/>
        <v>6.9333333333333336</v>
      </c>
      <c r="I13" s="3">
        <f t="shared" si="3"/>
        <v>46.473583345324982</v>
      </c>
      <c r="J13" s="69">
        <v>42</v>
      </c>
      <c r="K13" s="8">
        <f t="shared" si="4"/>
        <v>8.4</v>
      </c>
      <c r="L13" s="3">
        <f t="shared" si="5"/>
        <v>50</v>
      </c>
      <c r="M13" s="69">
        <v>22</v>
      </c>
      <c r="N13" s="8">
        <f t="shared" si="6"/>
        <v>3.6666666666666665</v>
      </c>
      <c r="O13" s="3">
        <f t="shared" si="7"/>
        <v>21.764248855352825</v>
      </c>
      <c r="P13" s="69">
        <v>82</v>
      </c>
      <c r="Q13" s="8">
        <f t="shared" si="8"/>
        <v>9.1111111111111107</v>
      </c>
      <c r="R13" s="3">
        <f t="shared" si="9"/>
        <v>50</v>
      </c>
      <c r="S13">
        <v>11</v>
      </c>
      <c r="T13" s="8">
        <f t="shared" si="10"/>
        <v>2.75</v>
      </c>
      <c r="U13" s="3">
        <f t="shared" si="11"/>
        <v>44.226497308103745</v>
      </c>
    </row>
    <row r="14" spans="1:21" ht="27" x14ac:dyDescent="0.45">
      <c r="A14" s="95">
        <v>7</v>
      </c>
      <c r="B14" s="304">
        <v>651201190</v>
      </c>
      <c r="C14" s="304" t="s">
        <v>305</v>
      </c>
      <c r="D14" s="69">
        <v>134</v>
      </c>
      <c r="E14" s="8">
        <f t="shared" si="0"/>
        <v>45.942857142857143</v>
      </c>
      <c r="F14" s="3">
        <f t="shared" si="1"/>
        <v>230.3689376177208</v>
      </c>
      <c r="G14" s="69">
        <v>50</v>
      </c>
      <c r="H14" s="8">
        <f t="shared" si="2"/>
        <v>6.666666666666667</v>
      </c>
      <c r="I14" s="3">
        <f t="shared" si="3"/>
        <v>44.032217969011512</v>
      </c>
      <c r="J14" s="69">
        <v>34</v>
      </c>
      <c r="K14" s="8">
        <f t="shared" si="4"/>
        <v>6.8</v>
      </c>
      <c r="L14" s="3">
        <f t="shared" si="5"/>
        <v>50</v>
      </c>
      <c r="M14" s="69">
        <v>22</v>
      </c>
      <c r="N14" s="8">
        <f t="shared" si="6"/>
        <v>3.6666666666666665</v>
      </c>
      <c r="O14" s="3">
        <f t="shared" si="7"/>
        <v>21.764248855352825</v>
      </c>
      <c r="P14" s="69">
        <v>82</v>
      </c>
      <c r="Q14" s="8">
        <f t="shared" si="8"/>
        <v>9.1111111111111107</v>
      </c>
      <c r="R14" s="3">
        <f t="shared" si="9"/>
        <v>50</v>
      </c>
      <c r="S14">
        <v>14</v>
      </c>
      <c r="T14" s="8">
        <f t="shared" si="10"/>
        <v>3.5</v>
      </c>
      <c r="U14" s="3">
        <f t="shared" si="11"/>
        <v>61.547005383792516</v>
      </c>
    </row>
    <row r="15" spans="1:21" ht="27" x14ac:dyDescent="0.45">
      <c r="A15" s="95">
        <v>8</v>
      </c>
      <c r="B15" s="304">
        <v>651201191</v>
      </c>
      <c r="C15" s="304" t="s">
        <v>306</v>
      </c>
      <c r="D15" s="69">
        <v>160</v>
      </c>
      <c r="E15" s="8">
        <f t="shared" si="0"/>
        <v>54.857142857142854</v>
      </c>
      <c r="F15" s="3">
        <f t="shared" si="1"/>
        <v>366.1495092631651</v>
      </c>
      <c r="G15" s="69">
        <v>66</v>
      </c>
      <c r="H15" s="8">
        <f t="shared" si="2"/>
        <v>8.8000000000000007</v>
      </c>
      <c r="I15" s="3">
        <f t="shared" si="3"/>
        <v>63.563140979519304</v>
      </c>
      <c r="J15" s="69">
        <v>44</v>
      </c>
      <c r="K15" s="8">
        <f t="shared" si="4"/>
        <v>8.8000000000000007</v>
      </c>
      <c r="L15" s="3">
        <f t="shared" si="5"/>
        <v>50</v>
      </c>
      <c r="M15" s="69">
        <v>26</v>
      </c>
      <c r="N15" s="8">
        <f t="shared" si="6"/>
        <v>4.333333333333333</v>
      </c>
      <c r="O15" s="3">
        <f t="shared" si="7"/>
        <v>30.084751798731265</v>
      </c>
      <c r="P15" s="69">
        <v>82</v>
      </c>
      <c r="Q15" s="8">
        <f t="shared" si="8"/>
        <v>9.1111111111111107</v>
      </c>
      <c r="R15" s="3">
        <f t="shared" si="9"/>
        <v>50</v>
      </c>
      <c r="S15">
        <v>13</v>
      </c>
      <c r="T15" s="8">
        <f t="shared" si="10"/>
        <v>3.25</v>
      </c>
      <c r="U15" s="3">
        <f t="shared" si="11"/>
        <v>55.773502691896255</v>
      </c>
    </row>
    <row r="16" spans="1:21" ht="27" x14ac:dyDescent="0.45">
      <c r="A16" s="95">
        <v>9</v>
      </c>
      <c r="B16" s="304">
        <v>651201192</v>
      </c>
      <c r="C16" s="304" t="s">
        <v>307</v>
      </c>
      <c r="D16" s="69">
        <v>130</v>
      </c>
      <c r="E16" s="8">
        <f t="shared" si="0"/>
        <v>44.571428571428569</v>
      </c>
      <c r="F16" s="3">
        <f t="shared" si="1"/>
        <v>209.47961890303708</v>
      </c>
      <c r="G16" s="69">
        <v>44</v>
      </c>
      <c r="H16" s="8">
        <f t="shared" si="2"/>
        <v>5.8666666666666663</v>
      </c>
      <c r="I16" s="3">
        <f t="shared" si="3"/>
        <v>36.708121840071087</v>
      </c>
      <c r="J16" s="69">
        <v>34</v>
      </c>
      <c r="K16" s="8">
        <f t="shared" si="4"/>
        <v>6.8</v>
      </c>
      <c r="L16" s="3">
        <f t="shared" si="5"/>
        <v>50</v>
      </c>
      <c r="M16" s="69">
        <v>20</v>
      </c>
      <c r="N16" s="8">
        <f t="shared" si="6"/>
        <v>3.3333333333333335</v>
      </c>
      <c r="O16" s="3">
        <f t="shared" si="7"/>
        <v>17.603997383663607</v>
      </c>
      <c r="P16" s="69">
        <v>82</v>
      </c>
      <c r="Q16" s="8">
        <f t="shared" si="8"/>
        <v>9.1111111111111107</v>
      </c>
      <c r="R16" s="3">
        <f t="shared" si="9"/>
        <v>50</v>
      </c>
      <c r="S16">
        <v>10</v>
      </c>
      <c r="T16" s="8">
        <f t="shared" si="10"/>
        <v>2.5</v>
      </c>
      <c r="U16" s="3">
        <f t="shared" si="11"/>
        <v>38.452994616207484</v>
      </c>
    </row>
    <row r="17" spans="1:21" ht="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21" x14ac:dyDescent="0.35">
      <c r="A18" s="2"/>
      <c r="B18" s="2"/>
      <c r="C18" s="42" t="s">
        <v>13</v>
      </c>
      <c r="D18" s="9">
        <f>AVERAGE($D$8:$D$17)</f>
        <v>147.33333333333334</v>
      </c>
      <c r="E18" s="2"/>
      <c r="F18" s="2"/>
      <c r="G18" s="9">
        <f>AVERAGE($G$8:$G$17)</f>
        <v>54.888888888888886</v>
      </c>
      <c r="H18" s="1"/>
      <c r="I18" s="1"/>
      <c r="J18" s="9">
        <f>AVERAGE($J$8:$J$17)</f>
        <v>39.444444444444443</v>
      </c>
      <c r="K18" s="1"/>
      <c r="L18" s="1"/>
      <c r="M18" s="9">
        <f>AVERAGE($M$8:$M$17)</f>
        <v>23.555555555555557</v>
      </c>
      <c r="N18" s="1"/>
      <c r="O18" s="1"/>
      <c r="P18" s="9">
        <f>AVERAGE($P$8:$P$17)</f>
        <v>82</v>
      </c>
      <c r="Q18" s="1"/>
      <c r="R18" s="1"/>
      <c r="S18" s="9">
        <f>AVERAGE($S$8:$S$17)</f>
        <v>12</v>
      </c>
      <c r="T18" s="1"/>
      <c r="U18" s="1"/>
    </row>
    <row r="19" spans="1:21" ht="21" x14ac:dyDescent="0.35">
      <c r="A19" s="2"/>
      <c r="B19" s="2"/>
      <c r="C19" s="42" t="s">
        <v>14</v>
      </c>
      <c r="D19" s="9">
        <f>STDEV($D$8:$D$17)</f>
        <v>11.489125293076059</v>
      </c>
      <c r="E19" s="2"/>
      <c r="F19" s="2"/>
      <c r="G19" s="9">
        <f>STDEV($G$8:$G$17)</f>
        <v>8.1921371516296837</v>
      </c>
      <c r="H19" s="1"/>
      <c r="I19" s="1"/>
      <c r="J19" s="9">
        <f>STDEV($J$8:$J$17)</f>
        <v>3.711842908553348</v>
      </c>
      <c r="K19" s="1"/>
      <c r="L19" s="1"/>
      <c r="M19" s="9">
        <f>STDEV($M$8:$M$17)</f>
        <v>2.4037008503093258</v>
      </c>
      <c r="N19" s="1"/>
      <c r="O19" s="1"/>
      <c r="P19" s="9">
        <f>STDEV($P$8:$P$17)</f>
        <v>0</v>
      </c>
      <c r="Q19" s="1"/>
      <c r="R19" s="1"/>
      <c r="S19" s="9">
        <f>STDEV(S8:S17)</f>
        <v>1.7320508075688772</v>
      </c>
      <c r="T19" s="1"/>
      <c r="U19" s="1"/>
    </row>
    <row r="20" spans="1:21" ht="21" x14ac:dyDescent="0.2">
      <c r="A20" s="2"/>
      <c r="B20" s="2"/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21" x14ac:dyDescent="0.2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21" x14ac:dyDescent="0.2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ht="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44" x14ac:dyDescent="0.35">
      <c r="A24" s="6">
        <v>1</v>
      </c>
      <c r="B24" s="38">
        <f>B8</f>
        <v>651201184</v>
      </c>
      <c r="C24" s="39" t="str">
        <f>C8</f>
        <v>นางสาวสิริรัตน์ ดวงเสนา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44" x14ac:dyDescent="0.35">
      <c r="A25" s="6">
        <v>2</v>
      </c>
      <c r="B25" s="38">
        <f t="shared" ref="B25:C33" si="12">B9</f>
        <v>651201185</v>
      </c>
      <c r="C25" s="39" t="str">
        <f t="shared" si="12"/>
        <v>นางสาวสิริวิมล คุณสิงห์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44" x14ac:dyDescent="0.35">
      <c r="A26" s="6">
        <v>3</v>
      </c>
      <c r="B26" s="38">
        <f t="shared" si="12"/>
        <v>651201186</v>
      </c>
      <c r="C26" s="39" t="str">
        <f t="shared" si="12"/>
        <v>นางสาวสุทัตตา คำพรมมี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66" x14ac:dyDescent="0.35">
      <c r="A27" s="6">
        <v>4</v>
      </c>
      <c r="B27" s="38">
        <f t="shared" si="12"/>
        <v>651201187</v>
      </c>
      <c r="C27" s="39" t="str">
        <f t="shared" si="12"/>
        <v>นางสาวสุธิดา บุญประเสริฐ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66" x14ac:dyDescent="0.35">
      <c r="A28" s="6">
        <v>5</v>
      </c>
      <c r="B28" s="38">
        <f t="shared" si="12"/>
        <v>651201188</v>
      </c>
      <c r="C28" s="39" t="str">
        <f t="shared" si="12"/>
        <v>นางสาวสุมิตรา เลิศขามป้อม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66" x14ac:dyDescent="0.35">
      <c r="A29" s="6">
        <v>6</v>
      </c>
      <c r="B29" s="38">
        <f t="shared" si="12"/>
        <v>651201189</v>
      </c>
      <c r="C29" s="39" t="str">
        <f t="shared" si="12"/>
        <v>นางสาวสุลักษขณา นนธจิ ันทร์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44" x14ac:dyDescent="0.35">
      <c r="A30" s="6">
        <v>7</v>
      </c>
      <c r="B30" s="38">
        <f t="shared" si="12"/>
        <v>651201190</v>
      </c>
      <c r="C30" s="39" t="str">
        <f t="shared" si="12"/>
        <v>นางสาวสุวัลชณา คนหาญ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66" x14ac:dyDescent="0.35">
      <c r="A31" s="6">
        <v>8</v>
      </c>
      <c r="B31" s="38">
        <f t="shared" si="12"/>
        <v>651201191</v>
      </c>
      <c r="C31" s="39" t="str">
        <f t="shared" si="12"/>
        <v>นางสาวหทัยรัตน์ ตันเวียง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ht="21" x14ac:dyDescent="0.35">
      <c r="A32" s="6">
        <v>9</v>
      </c>
      <c r="B32" s="38">
        <f t="shared" si="12"/>
        <v>651201192</v>
      </c>
      <c r="C32" s="39" t="str">
        <f t="shared" si="12"/>
        <v>นายอนนท์ ขะพินจิ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ht="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ht="21" x14ac:dyDescent="0.35">
      <c r="A34" s="2"/>
      <c r="B34" s="2"/>
      <c r="C34" s="42" t="s">
        <v>13</v>
      </c>
      <c r="D34" s="9" t="e">
        <f>AVERAGE($D$24:$D$33)</f>
        <v>#DIV/0!</v>
      </c>
      <c r="E34" s="1"/>
      <c r="F34" s="1"/>
      <c r="G34" s="9" t="e">
        <f>AVERAGE($G$24:$G$33)</f>
        <v>#DIV/0!</v>
      </c>
      <c r="H34" s="1"/>
      <c r="I34" s="1"/>
      <c r="J34" s="9" t="e">
        <f>AVERAGE($J$24:$J$33)</f>
        <v>#DIV/0!</v>
      </c>
      <c r="K34" s="1"/>
      <c r="L34" s="1"/>
      <c r="M34" s="9" t="e">
        <f>AVERAGE($M$24:$M$33)</f>
        <v>#DIV/0!</v>
      </c>
      <c r="N34" s="1"/>
      <c r="O34" s="1"/>
      <c r="P34" s="9" t="e">
        <f>AVERAGE($P$24:$P$33)</f>
        <v>#DIV/0!</v>
      </c>
      <c r="Q34" s="1"/>
      <c r="R34" s="1"/>
      <c r="S34" s="72" t="e">
        <f>AVERAGE($S$24:$S$33)</f>
        <v>#DIV/0!</v>
      </c>
      <c r="T34" s="1"/>
      <c r="U34" s="1"/>
    </row>
    <row r="35" spans="1:21" ht="21" x14ac:dyDescent="0.35">
      <c r="A35" s="2"/>
      <c r="B35" s="2"/>
      <c r="C35" s="42" t="s">
        <v>14</v>
      </c>
      <c r="D35" s="9" t="e">
        <f>STDEV($D$24:$D$33)</f>
        <v>#DIV/0!</v>
      </c>
      <c r="E35" s="1"/>
      <c r="F35" s="5"/>
      <c r="G35" s="9" t="e">
        <f>STDEV($G$24:$G$33)</f>
        <v>#DIV/0!</v>
      </c>
      <c r="H35" s="1"/>
      <c r="I35" s="1"/>
      <c r="J35" s="9" t="e">
        <f>STDEV($J$24:$J$33)</f>
        <v>#DIV/0!</v>
      </c>
      <c r="K35" s="1"/>
      <c r="L35" s="5"/>
      <c r="M35" s="9" t="e">
        <f>STDEV($M$24:$M$33)</f>
        <v>#DIV/0!</v>
      </c>
      <c r="N35" s="1"/>
      <c r="O35" s="1"/>
      <c r="P35" s="9" t="e">
        <f>STDEV($P$24:$P$33)</f>
        <v>#DIV/0!</v>
      </c>
      <c r="Q35" s="1"/>
      <c r="R35" s="1"/>
      <c r="S35" s="72" t="e">
        <f>STDEV($S$24:$S$33)</f>
        <v>#DIV/0!</v>
      </c>
      <c r="T35" s="1"/>
      <c r="U35" s="1"/>
    </row>
    <row r="36" spans="1:21" ht="21" x14ac:dyDescent="0.35">
      <c r="A36" s="2"/>
      <c r="B36" s="2"/>
      <c r="C36" s="42"/>
      <c r="D36" s="9"/>
      <c r="E36" s="1"/>
      <c r="F36" s="5"/>
      <c r="G36" s="9" t="s">
        <v>2</v>
      </c>
      <c r="H36" s="1"/>
      <c r="I36" s="1"/>
      <c r="J36" s="9"/>
      <c r="K36" s="1"/>
      <c r="L36" s="5"/>
      <c r="M36" s="9"/>
      <c r="N36" s="1"/>
      <c r="O36" s="1"/>
      <c r="P36" s="1" t="s">
        <v>2</v>
      </c>
      <c r="Q36" s="1"/>
      <c r="R36" s="1"/>
      <c r="S36" s="1"/>
      <c r="T36" s="1"/>
      <c r="U36" s="1"/>
    </row>
    <row r="37" spans="1:21" ht="21" x14ac:dyDescent="0.35">
      <c r="A37" s="2"/>
      <c r="B37" s="2"/>
      <c r="C37" s="2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1"/>
      <c r="T37" s="1"/>
      <c r="U37" s="1"/>
    </row>
    <row r="38" spans="1:21" ht="21" x14ac:dyDescent="0.2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ht="21" x14ac:dyDescent="0.2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ht="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44" x14ac:dyDescent="0.35">
      <c r="A41" s="6">
        <v>1</v>
      </c>
      <c r="B41" s="38">
        <f>B8</f>
        <v>651201184</v>
      </c>
      <c r="C41" s="39" t="str">
        <f>C8</f>
        <v>นางสาวสิริรัตน์ ดวงเสนา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44" x14ac:dyDescent="0.35">
      <c r="A42" s="6">
        <v>2</v>
      </c>
      <c r="B42" s="38">
        <f t="shared" ref="B42:C50" si="25">B9</f>
        <v>651201185</v>
      </c>
      <c r="C42" s="39" t="str">
        <f t="shared" si="25"/>
        <v>นางสาวสิริวิมล คุณสิงห์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44" x14ac:dyDescent="0.35">
      <c r="A43" s="6">
        <v>3</v>
      </c>
      <c r="B43" s="38">
        <f t="shared" si="25"/>
        <v>651201186</v>
      </c>
      <c r="C43" s="39" t="str">
        <f t="shared" si="25"/>
        <v>นางสาวสุทัตตา คำพรมมี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66" x14ac:dyDescent="0.35">
      <c r="A44" s="6">
        <v>4</v>
      </c>
      <c r="B44" s="38">
        <f t="shared" si="25"/>
        <v>651201187</v>
      </c>
      <c r="C44" s="39" t="str">
        <f t="shared" si="25"/>
        <v>นางสาวสุธิดา บุญประเสริฐ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66" x14ac:dyDescent="0.35">
      <c r="A45" s="6">
        <v>5</v>
      </c>
      <c r="B45" s="38">
        <f t="shared" si="25"/>
        <v>651201188</v>
      </c>
      <c r="C45" s="39" t="str">
        <f t="shared" si="25"/>
        <v>นางสาวสุมิตรา เลิศขามป้อม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66" x14ac:dyDescent="0.35">
      <c r="A46" s="6">
        <v>6</v>
      </c>
      <c r="B46" s="38">
        <f t="shared" si="25"/>
        <v>651201189</v>
      </c>
      <c r="C46" s="39" t="str">
        <f t="shared" si="25"/>
        <v>นางสาวสุลักษขณา นนธจิ ันทร์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44" x14ac:dyDescent="0.35">
      <c r="A47" s="6">
        <v>7</v>
      </c>
      <c r="B47" s="38">
        <f t="shared" si="25"/>
        <v>651201190</v>
      </c>
      <c r="C47" s="39" t="str">
        <f t="shared" si="25"/>
        <v>นางสาวสุวัลชณา คนหาญ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66" x14ac:dyDescent="0.35">
      <c r="A48" s="6">
        <v>8</v>
      </c>
      <c r="B48" s="38">
        <f t="shared" si="25"/>
        <v>651201191</v>
      </c>
      <c r="C48" s="39" t="str">
        <f t="shared" si="25"/>
        <v>นางสาวหทัยรัตน์ ตันเวียง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ht="21" x14ac:dyDescent="0.35">
      <c r="A49" s="6">
        <v>9</v>
      </c>
      <c r="B49" s="38">
        <f t="shared" si="25"/>
        <v>651201192</v>
      </c>
      <c r="C49" s="39" t="str">
        <f t="shared" si="25"/>
        <v>นายอนนท์ ขะพินจิ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ht="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ht="21" x14ac:dyDescent="0.35">
      <c r="A51" s="2"/>
      <c r="B51" s="2"/>
      <c r="C51" s="42" t="s">
        <v>13</v>
      </c>
      <c r="D51" s="9" t="e">
        <f>AVERAGE($D$41:$D$50)</f>
        <v>#DIV/0!</v>
      </c>
      <c r="E51" s="1"/>
      <c r="F51" s="1"/>
      <c r="G51" s="9" t="e">
        <f>AVERAGE($G$41:$G$50)</f>
        <v>#DIV/0!</v>
      </c>
      <c r="H51" s="1"/>
      <c r="I51" s="1"/>
      <c r="J51" s="9" t="e">
        <f>AVERAGE($J$41:$J$50)</f>
        <v>#DIV/0!</v>
      </c>
      <c r="K51" s="1"/>
      <c r="L51" s="1"/>
      <c r="M51" s="9" t="e">
        <f>AVERAGE($M$41:$M$50)</f>
        <v>#DIV/0!</v>
      </c>
      <c r="N51" s="1"/>
      <c r="O51" s="1"/>
      <c r="P51" s="9" t="e">
        <f>AVERAGE($P$41:$P$50)</f>
        <v>#DIV/0!</v>
      </c>
      <c r="Q51" s="1"/>
      <c r="R51" s="1"/>
      <c r="S51" s="9" t="e">
        <f>AVERAGE($S$41:$S$50)</f>
        <v>#DIV/0!</v>
      </c>
      <c r="T51" s="1"/>
      <c r="U51" s="1"/>
    </row>
    <row r="52" spans="1:21" ht="21" x14ac:dyDescent="0.35">
      <c r="A52" s="2"/>
      <c r="B52" s="2"/>
      <c r="C52" s="42" t="s">
        <v>14</v>
      </c>
      <c r="D52" s="9" t="e">
        <f>STDEV($D$41:$D$50)</f>
        <v>#DIV/0!</v>
      </c>
      <c r="E52" s="1"/>
      <c r="F52" s="5"/>
      <c r="G52" s="9" t="e">
        <f>STDEV($G$41:$G$50)</f>
        <v>#DIV/0!</v>
      </c>
      <c r="H52" s="1"/>
      <c r="I52" s="1"/>
      <c r="J52" s="9" t="e">
        <f>STDEV($J$41:$J$50)</f>
        <v>#DIV/0!</v>
      </c>
      <c r="K52" s="1"/>
      <c r="L52" s="1"/>
      <c r="M52" s="9" t="e">
        <f>STDEV($M$41:$M$50)</f>
        <v>#DIV/0!</v>
      </c>
      <c r="N52" s="1"/>
      <c r="O52" s="5"/>
      <c r="P52" s="9" t="e">
        <f>STDEV($P$41:$P$50)</f>
        <v>#DIV/0!</v>
      </c>
      <c r="Q52" s="1"/>
      <c r="R52" s="5"/>
      <c r="S52" s="9" t="e">
        <f>STDEV($S$41:$S$50)</f>
        <v>#DIV/0!</v>
      </c>
      <c r="T52" s="1"/>
      <c r="U52" s="1"/>
    </row>
    <row r="53" spans="1:21" ht="21" x14ac:dyDescent="0.35">
      <c r="A53" s="2"/>
      <c r="B53" s="2"/>
      <c r="C53" s="42"/>
      <c r="D53" s="9"/>
      <c r="E53" s="1"/>
      <c r="F53" s="5"/>
      <c r="G53" s="9"/>
      <c r="H53" s="1"/>
      <c r="I53" s="1"/>
      <c r="J53" s="9"/>
      <c r="K53" s="1"/>
      <c r="L53" s="5"/>
      <c r="M53" s="9"/>
      <c r="N53" s="1"/>
      <c r="O53" s="1"/>
      <c r="P53" s="1" t="s">
        <v>2</v>
      </c>
      <c r="Q53" s="1"/>
      <c r="R53" s="1"/>
      <c r="S53" s="1"/>
      <c r="T53" s="1"/>
      <c r="U53" s="1"/>
    </row>
    <row r="54" spans="1:21" ht="21" x14ac:dyDescent="0.35">
      <c r="A54" s="2"/>
      <c r="B54" s="2"/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1"/>
      <c r="T54" s="1"/>
      <c r="U54" s="1"/>
    </row>
    <row r="55" spans="1:21" ht="2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21" x14ac:dyDescent="0.2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ht="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44" x14ac:dyDescent="0.35">
      <c r="A58" s="6">
        <v>1</v>
      </c>
      <c r="B58" s="38">
        <f>B8</f>
        <v>651201184</v>
      </c>
      <c r="C58" s="73" t="str">
        <f>C8</f>
        <v>นางสาวสิริรัตน์ ดวงเสนา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44" x14ac:dyDescent="0.35">
      <c r="A59" s="6">
        <v>2</v>
      </c>
      <c r="B59" s="38">
        <f t="shared" ref="B59:C67" si="38">B9</f>
        <v>651201185</v>
      </c>
      <c r="C59" s="73" t="str">
        <f t="shared" si="38"/>
        <v>นางสาวสิริวิมล คุณสิงห์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44" x14ac:dyDescent="0.35">
      <c r="A60" s="6">
        <v>3</v>
      </c>
      <c r="B60" s="38">
        <f t="shared" si="38"/>
        <v>651201186</v>
      </c>
      <c r="C60" s="73" t="str">
        <f t="shared" si="38"/>
        <v>นางสาวสุทัตตา คำพรมมี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44" x14ac:dyDescent="0.35">
      <c r="A61" s="6">
        <v>4</v>
      </c>
      <c r="B61" s="38">
        <f t="shared" si="38"/>
        <v>651201187</v>
      </c>
      <c r="C61" s="73" t="str">
        <f t="shared" si="38"/>
        <v>นางสาวสุธิดา บุญประเสริฐ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66" x14ac:dyDescent="0.35">
      <c r="A62" s="6">
        <v>5</v>
      </c>
      <c r="B62" s="38">
        <f t="shared" si="38"/>
        <v>651201188</v>
      </c>
      <c r="C62" s="73" t="str">
        <f t="shared" si="38"/>
        <v>นางสาวสุมิตรา เลิศขามป้อม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66" x14ac:dyDescent="0.35">
      <c r="A63" s="6">
        <v>6</v>
      </c>
      <c r="B63" s="38">
        <f t="shared" si="38"/>
        <v>651201189</v>
      </c>
      <c r="C63" s="73" t="str">
        <f t="shared" si="38"/>
        <v>นางสาวสุลักษขณา นนธจิ ันทร์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44" x14ac:dyDescent="0.35">
      <c r="A64" s="6">
        <v>7</v>
      </c>
      <c r="B64" s="38">
        <f t="shared" si="38"/>
        <v>651201190</v>
      </c>
      <c r="C64" s="73" t="str">
        <f t="shared" si="38"/>
        <v>นางสาวสุวัลชณา คนหาญ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66" x14ac:dyDescent="0.35">
      <c r="A65" s="6">
        <v>8</v>
      </c>
      <c r="B65" s="38">
        <f t="shared" si="38"/>
        <v>651201191</v>
      </c>
      <c r="C65" s="73" t="str">
        <f t="shared" si="38"/>
        <v>นางสาวหทัยรัตน์ ตันเวียง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ht="21" x14ac:dyDescent="0.35">
      <c r="A66" s="6">
        <v>9</v>
      </c>
      <c r="B66" s="38">
        <f t="shared" si="38"/>
        <v>651201192</v>
      </c>
      <c r="C66" s="73" t="str">
        <f t="shared" si="38"/>
        <v>นายอนนท์ ขะพินจิ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ht="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ht="21" x14ac:dyDescent="0.35">
      <c r="A68" s="2"/>
      <c r="B68" s="2"/>
      <c r="C68" s="42" t="s">
        <v>13</v>
      </c>
      <c r="D68" s="9" t="e">
        <f>AVERAGE($D$58:$D$67)</f>
        <v>#DIV/0!</v>
      </c>
      <c r="E68" s="1"/>
      <c r="F68" s="1"/>
      <c r="G68" s="9" t="e">
        <f>AVERAGE($G$58:$G$67)</f>
        <v>#DIV/0!</v>
      </c>
      <c r="H68" s="1"/>
      <c r="I68" s="1"/>
      <c r="J68" s="9" t="e">
        <f>AVERAGE($J$58:$J$67)</f>
        <v>#DIV/0!</v>
      </c>
      <c r="K68" s="1"/>
      <c r="L68" s="1"/>
      <c r="M68" s="9" t="e">
        <f>AVERAGE($M$58:$M$67)</f>
        <v>#DIV/0!</v>
      </c>
      <c r="N68" s="1"/>
      <c r="O68" s="1"/>
      <c r="P68" s="9" t="e">
        <f>AVERAGE($P$58:$P$67)</f>
        <v>#DIV/0!</v>
      </c>
      <c r="Q68" s="1"/>
      <c r="R68" s="1"/>
      <c r="S68" s="9" t="e">
        <f>AVERAGE($S$58:$S$67)</f>
        <v>#DIV/0!</v>
      </c>
      <c r="T68" s="1"/>
      <c r="U68" s="1"/>
    </row>
    <row r="69" spans="1:21" ht="21" x14ac:dyDescent="0.35">
      <c r="A69" s="2"/>
      <c r="B69" s="2"/>
      <c r="C69" s="42" t="s">
        <v>14</v>
      </c>
      <c r="D69" s="9" t="e">
        <f>STDEV($D$58:$D$67)</f>
        <v>#DIV/0!</v>
      </c>
      <c r="E69" s="1"/>
      <c r="F69" s="5"/>
      <c r="G69" s="9" t="e">
        <f>STDEV($G$58:$G$67)</f>
        <v>#DIV/0!</v>
      </c>
      <c r="H69" s="1"/>
      <c r="I69" s="1"/>
      <c r="J69" s="9" t="e">
        <f>STDEV($J$58:$J$67)</f>
        <v>#DIV/0!</v>
      </c>
      <c r="K69" s="1"/>
      <c r="L69" s="1"/>
      <c r="M69" s="9" t="e">
        <f>STDEV($M$41:$M$50)</f>
        <v>#DIV/0!</v>
      </c>
      <c r="N69" s="1"/>
      <c r="O69" s="5"/>
      <c r="P69" s="9" t="e">
        <f>STDEV($P$58:$P$67)</f>
        <v>#DIV/0!</v>
      </c>
      <c r="Q69" s="1"/>
      <c r="R69" s="5"/>
      <c r="S69" s="9" t="e">
        <f>STDEV($S$58:$S$67)</f>
        <v>#DIV/0!</v>
      </c>
      <c r="T69" s="1"/>
      <c r="U69" s="1"/>
    </row>
    <row r="70" spans="1:21" ht="21" x14ac:dyDescent="0.35">
      <c r="A70" s="2"/>
      <c r="B70" s="2"/>
      <c r="C70" s="42"/>
      <c r="D70" s="9"/>
      <c r="E70" s="1"/>
      <c r="F70" s="5"/>
      <c r="G70" s="9"/>
      <c r="H70" s="1"/>
      <c r="I70" s="1"/>
      <c r="J70" s="9"/>
      <c r="K70" s="1"/>
      <c r="L70" s="5"/>
      <c r="M70" s="9"/>
      <c r="N70" s="1"/>
      <c r="O70" s="1"/>
      <c r="P70" s="1"/>
      <c r="Q70" s="1"/>
      <c r="R70" s="1"/>
      <c r="S70" s="1"/>
      <c r="T70" s="1"/>
      <c r="U70" s="1"/>
    </row>
    <row r="71" spans="1:21" ht="21" x14ac:dyDescent="0.35">
      <c r="A71" s="2"/>
      <c r="B71" s="2"/>
      <c r="C71" s="42"/>
      <c r="D71" s="9"/>
      <c r="E71" s="1"/>
      <c r="F71" s="5"/>
      <c r="G71" s="9"/>
      <c r="H71" s="1"/>
      <c r="I71" s="1"/>
      <c r="J71" s="9"/>
      <c r="K71" s="1"/>
      <c r="L71" s="5"/>
      <c r="M71" s="9"/>
      <c r="N71" s="1"/>
      <c r="O71" s="1"/>
      <c r="P71" s="1"/>
      <c r="Q71" s="1"/>
      <c r="R71" s="1"/>
      <c r="S71" s="1"/>
      <c r="T71" s="1"/>
      <c r="U71" s="1"/>
    </row>
    <row r="72" spans="1:21" ht="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ht="21" x14ac:dyDescent="0.2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ht="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44" x14ac:dyDescent="0.35">
      <c r="A75" s="6">
        <f>A8</f>
        <v>1</v>
      </c>
      <c r="B75" s="38">
        <f>B8</f>
        <v>651201184</v>
      </c>
      <c r="C75" s="39" t="str">
        <f>C8</f>
        <v>นางสาวสิริรัตน์ ดวงเสนา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44" x14ac:dyDescent="0.35">
      <c r="A76" s="6">
        <f t="shared" ref="A76:C84" si="51">A9</f>
        <v>2</v>
      </c>
      <c r="B76" s="38">
        <f t="shared" si="51"/>
        <v>651201185</v>
      </c>
      <c r="C76" s="39" t="str">
        <f t="shared" si="51"/>
        <v>นางสาวสิริวิมล คุณสิงห์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44" x14ac:dyDescent="0.35">
      <c r="A77" s="6">
        <f t="shared" si="51"/>
        <v>3</v>
      </c>
      <c r="B77" s="38">
        <f t="shared" si="51"/>
        <v>651201186</v>
      </c>
      <c r="C77" s="39" t="str">
        <f t="shared" si="51"/>
        <v>นางสาวสุทัตตา คำพรมมี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66" x14ac:dyDescent="0.35">
      <c r="A78" s="6">
        <f t="shared" si="51"/>
        <v>4</v>
      </c>
      <c r="B78" s="38">
        <f t="shared" si="51"/>
        <v>651201187</v>
      </c>
      <c r="C78" s="39" t="str">
        <f t="shared" si="51"/>
        <v>นางสาวสุธิดา บุญประเสริฐ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66" x14ac:dyDescent="0.35">
      <c r="A79" s="6">
        <f t="shared" si="51"/>
        <v>5</v>
      </c>
      <c r="B79" s="38">
        <f t="shared" si="51"/>
        <v>651201188</v>
      </c>
      <c r="C79" s="39" t="str">
        <f t="shared" si="51"/>
        <v>นางสาวสุมิตรา เลิศขามป้อม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66" x14ac:dyDescent="0.35">
      <c r="A80" s="6">
        <f t="shared" si="51"/>
        <v>6</v>
      </c>
      <c r="B80" s="38">
        <f t="shared" si="51"/>
        <v>651201189</v>
      </c>
      <c r="C80" s="39" t="str">
        <f t="shared" si="51"/>
        <v>นางสาวสุลักษขณา นนธจิ ันทร์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44" x14ac:dyDescent="0.35">
      <c r="A81" s="6">
        <f t="shared" si="51"/>
        <v>7</v>
      </c>
      <c r="B81" s="38">
        <f t="shared" si="51"/>
        <v>651201190</v>
      </c>
      <c r="C81" s="39" t="str">
        <f t="shared" si="51"/>
        <v>นางสาวสุวัลชณา คนหาญ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66" x14ac:dyDescent="0.35">
      <c r="A82" s="6">
        <f t="shared" si="51"/>
        <v>8</v>
      </c>
      <c r="B82" s="38">
        <f t="shared" si="51"/>
        <v>651201191</v>
      </c>
      <c r="C82" s="39" t="str">
        <f t="shared" si="51"/>
        <v>นางสาวหทัยรัตน์ ตันเวียง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ht="21" x14ac:dyDescent="0.35">
      <c r="A83" s="6">
        <f t="shared" si="51"/>
        <v>9</v>
      </c>
      <c r="B83" s="38">
        <f t="shared" si="51"/>
        <v>651201192</v>
      </c>
      <c r="C83" s="39" t="str">
        <f t="shared" si="51"/>
        <v>นายอนนท์ ขะพินจิ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ht="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ht="21" x14ac:dyDescent="0.35">
      <c r="A85" s="2"/>
      <c r="B85" s="2"/>
      <c r="C85" s="42" t="s">
        <v>13</v>
      </c>
      <c r="D85" s="9" t="e">
        <f>AVERAGE($D$75:$D$84)</f>
        <v>#DIV/0!</v>
      </c>
      <c r="E85" s="1"/>
      <c r="F85" s="1"/>
      <c r="G85" s="9" t="e">
        <f>AVERAGE($G$75:$G$84)</f>
        <v>#DIV/0!</v>
      </c>
      <c r="H85" s="1"/>
      <c r="I85" s="1"/>
      <c r="J85" s="9" t="e">
        <f>AVERAGE($J$75:$J$84)</f>
        <v>#DIV/0!</v>
      </c>
      <c r="K85" s="1"/>
      <c r="L85" s="1"/>
      <c r="M85" s="9" t="e">
        <f>AVERAGE($M$75:$M$84)</f>
        <v>#DIV/0!</v>
      </c>
      <c r="N85" s="1"/>
      <c r="O85" s="1"/>
      <c r="P85" s="9" t="e">
        <f>AVERAGE($P$75:$P$84)</f>
        <v>#DIV/0!</v>
      </c>
      <c r="Q85" s="1"/>
      <c r="R85" s="1"/>
      <c r="S85" s="9" t="e">
        <f>AVERAGE($S$75:$S$84)</f>
        <v>#DIV/0!</v>
      </c>
      <c r="T85" s="1"/>
      <c r="U85" s="1"/>
    </row>
    <row r="86" spans="1:21" ht="21" x14ac:dyDescent="0.35">
      <c r="A86" s="2"/>
      <c r="B86" s="2"/>
      <c r="C86" s="42" t="s">
        <v>14</v>
      </c>
      <c r="D86" s="9" t="e">
        <f>STDEV($D$75:$D$84)</f>
        <v>#DIV/0!</v>
      </c>
      <c r="E86" s="1"/>
      <c r="F86" s="5"/>
      <c r="G86" s="9" t="e">
        <f>STDEV($G$75:$G$84)</f>
        <v>#DIV/0!</v>
      </c>
      <c r="H86" s="1"/>
      <c r="I86" s="1"/>
      <c r="J86" s="9" t="e">
        <f>STDEV(J75:J84)</f>
        <v>#DIV/0!</v>
      </c>
      <c r="K86" s="1"/>
      <c r="L86" s="5"/>
      <c r="M86" s="9" t="e">
        <f>STDEV($M$75:$M$84)</f>
        <v>#DIV/0!</v>
      </c>
      <c r="N86" s="1"/>
      <c r="O86" s="1"/>
      <c r="P86" s="9" t="e">
        <f>STDEV(P75:P84)</f>
        <v>#DIV/0!</v>
      </c>
      <c r="Q86" s="1"/>
      <c r="R86" s="1"/>
      <c r="S86" s="9" t="e">
        <f>STDEV($S$75:$S$84)</f>
        <v>#DIV/0!</v>
      </c>
      <c r="T86" s="1"/>
      <c r="U86" s="1"/>
    </row>
    <row r="87" spans="1:21" ht="21" x14ac:dyDescent="0.35">
      <c r="A87" s="2"/>
      <c r="B87" s="2"/>
      <c r="C87" s="42"/>
      <c r="D87" s="9"/>
      <c r="E87" s="1"/>
      <c r="F87" s="5"/>
      <c r="G87" s="9"/>
      <c r="H87" s="1"/>
      <c r="I87" s="1"/>
      <c r="J87" s="9"/>
      <c r="K87" s="1"/>
      <c r="L87" s="5"/>
      <c r="M87" s="9"/>
      <c r="N87" s="1"/>
      <c r="O87" s="1"/>
      <c r="P87" s="1" t="s">
        <v>2</v>
      </c>
      <c r="Q87" s="1"/>
      <c r="R87" s="1"/>
      <c r="S87" s="1"/>
      <c r="T87" s="1"/>
      <c r="U87" s="1"/>
    </row>
    <row r="88" spans="1:21" ht="21" x14ac:dyDescent="0.35">
      <c r="A88" s="2"/>
      <c r="B88" s="2"/>
      <c r="C88" s="42"/>
      <c r="D88" s="9"/>
      <c r="E88" s="1"/>
      <c r="F88" s="5"/>
      <c r="G88" s="9"/>
      <c r="H88" s="1"/>
      <c r="I88" s="1"/>
      <c r="J88" s="9"/>
      <c r="K88" s="1"/>
      <c r="L88" s="5"/>
      <c r="M88" s="9"/>
      <c r="N88" s="1"/>
      <c r="O88" s="1"/>
      <c r="P88" s="1"/>
      <c r="Q88" s="1"/>
      <c r="R88" s="1"/>
      <c r="S88" s="1"/>
      <c r="T88" s="1"/>
      <c r="U88" s="1"/>
    </row>
    <row r="89" spans="1:21" ht="21" x14ac:dyDescent="0.35">
      <c r="A89" s="2"/>
      <c r="B89" s="85" t="s">
        <v>148</v>
      </c>
      <c r="C89" s="42"/>
      <c r="D89" s="9"/>
      <c r="E89" s="1"/>
      <c r="F89" s="5"/>
      <c r="G89" s="9"/>
      <c r="H89" s="1"/>
      <c r="I89" s="1"/>
      <c r="J89" s="9"/>
      <c r="K89" s="1"/>
      <c r="L89" s="5"/>
      <c r="M89" s="9"/>
      <c r="N89" s="1"/>
      <c r="O89" s="1"/>
      <c r="P89" s="9"/>
      <c r="Q89" s="1"/>
      <c r="R89" s="1"/>
      <c r="S89" s="1"/>
      <c r="T89" s="1"/>
      <c r="U89" s="1"/>
    </row>
    <row r="90" spans="1:21" ht="21" x14ac:dyDescent="0.35">
      <c r="A90" s="2"/>
      <c r="B90" s="2"/>
      <c r="C90" s="42"/>
      <c r="D90" s="9"/>
      <c r="E90" s="1"/>
      <c r="F90" s="5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L91" s="1"/>
      <c r="M91" s="1"/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  <c r="U91" s="1"/>
    </row>
    <row r="92" spans="1:21" ht="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2</v>
      </c>
      <c r="K92" s="7">
        <f>ROUND((J92*100)/$J$101,2)</f>
        <v>22.22</v>
      </c>
      <c r="L92" s="1"/>
      <c r="M92" s="1"/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  <c r="U92" s="1"/>
    </row>
    <row r="93" spans="1:21" ht="21" x14ac:dyDescent="0.35">
      <c r="A93" s="6">
        <f>A8</f>
        <v>1</v>
      </c>
      <c r="B93" s="6">
        <f t="shared" ref="B93:C93" si="64">B8</f>
        <v>651201184</v>
      </c>
      <c r="C93" s="78" t="str">
        <f t="shared" si="64"/>
        <v>นางสาวสิริรัตน์ ดวงเสนา</v>
      </c>
      <c r="D93" s="3">
        <f>ROUND(SUM(E8,H8,K8,N8,Q8,T8,E24,H24,K24,N24,Q24,T24,E41,H41,K41,N41,Q41,T41,E58,H58,K58,N58,Q58,T58,E75,H75,K75,N75,Q75,T75),2)</f>
        <v>91.66</v>
      </c>
      <c r="E93" s="8">
        <f>ROUND(SUM(F8,I8,L8,O8,R8,U8,F24,I24,L24,O24,R24,U24,F41,I41,L41,O41,R41,U41,F58,I58,L58,O58,R58,U58,F75,I75,L75,O75,R75,U75),2)</f>
        <v>666.16</v>
      </c>
      <c r="F93" s="204" t="str">
        <f t="shared" ref="F93:F102" si="65">IF(D93=0,"-",IF(D93&gt;=$R$92,$T$92,IF(D93&gt;=$R$93,$T$93,IF(D93&gt;=$R$94,$T$94,IF(D93&gt;=$R$95,$T$95,IF(D93&gt;=$R$96,$T$96,$T$97))))))</f>
        <v>A</v>
      </c>
      <c r="G93" s="204"/>
      <c r="H93" s="80"/>
      <c r="I93" s="81" t="s">
        <v>111</v>
      </c>
      <c r="J93" s="77">
        <f t="shared" ref="J93:J100" si="66">COUNTIF($F$93:$G$102,I93)</f>
        <v>4</v>
      </c>
      <c r="K93" s="7">
        <f t="shared" ref="K93:K101" si="67">ROUND((J93*100)/$J$101,2)</f>
        <v>44.44</v>
      </c>
      <c r="L93" s="1"/>
      <c r="M93" s="1"/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  <c r="U93" s="1"/>
    </row>
    <row r="94" spans="1:21" ht="21" x14ac:dyDescent="0.35">
      <c r="A94" s="6">
        <f t="shared" ref="A94:C102" si="68">A9</f>
        <v>2</v>
      </c>
      <c r="B94" s="6">
        <f t="shared" si="68"/>
        <v>651201185</v>
      </c>
      <c r="C94" s="78" t="str">
        <f t="shared" si="68"/>
        <v>นางสาวสิริวิมล คุณสิงห์</v>
      </c>
      <c r="D94" s="3">
        <f t="shared" ref="D94:E102" si="69">ROUND(SUM(E9,H9,K9,N9,Q9,T9,E25,H25,K25,N25,Q25,T25,E42,H42,K42,N42,Q42,T42,E59,H59,K59,N59,Q59,T59,E76,H76,K76,N76,Q76,T76),2)</f>
        <v>82.91</v>
      </c>
      <c r="E94" s="8">
        <f t="shared" si="69"/>
        <v>533.32000000000005</v>
      </c>
      <c r="F94" s="204" t="str">
        <f t="shared" si="65"/>
        <v>B+</v>
      </c>
      <c r="G94" s="204"/>
      <c r="H94" s="80"/>
      <c r="I94" s="77" t="s">
        <v>110</v>
      </c>
      <c r="J94" s="77">
        <f t="shared" si="66"/>
        <v>2</v>
      </c>
      <c r="K94" s="7">
        <f t="shared" si="67"/>
        <v>22.22</v>
      </c>
      <c r="L94" s="1"/>
      <c r="M94" s="1"/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  <c r="U94" s="1"/>
    </row>
    <row r="95" spans="1:21" ht="21" x14ac:dyDescent="0.35">
      <c r="A95" s="6">
        <f t="shared" si="68"/>
        <v>3</v>
      </c>
      <c r="B95" s="6">
        <f t="shared" si="68"/>
        <v>651201186</v>
      </c>
      <c r="C95" s="78" t="str">
        <f t="shared" si="68"/>
        <v>นางสาวสุทัตตา คำพรมมี</v>
      </c>
      <c r="D95" s="3">
        <f t="shared" si="69"/>
        <v>83.68</v>
      </c>
      <c r="E95" s="8">
        <f t="shared" si="69"/>
        <v>558.65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1</v>
      </c>
      <c r="K95" s="7">
        <f t="shared" si="67"/>
        <v>11.11</v>
      </c>
      <c r="L95" s="1"/>
      <c r="M95" s="1"/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  <c r="U95" s="1"/>
    </row>
    <row r="96" spans="1:21" ht="21" x14ac:dyDescent="0.35">
      <c r="A96" s="6">
        <f t="shared" si="68"/>
        <v>4</v>
      </c>
      <c r="B96" s="6">
        <f t="shared" si="68"/>
        <v>651201187</v>
      </c>
      <c r="C96" s="78" t="str">
        <f t="shared" si="68"/>
        <v>นางสาวสุธิดา บุญประเสริฐ</v>
      </c>
      <c r="D96" s="3">
        <f t="shared" si="69"/>
        <v>82.24</v>
      </c>
      <c r="E96" s="8">
        <f t="shared" si="69"/>
        <v>537.57000000000005</v>
      </c>
      <c r="F96" s="204" t="str">
        <f t="shared" si="65"/>
        <v>B+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L96" s="1"/>
      <c r="M96" s="1"/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  <c r="U96" s="1"/>
    </row>
    <row r="97" spans="1:21" ht="21" x14ac:dyDescent="0.35">
      <c r="A97" s="6">
        <f t="shared" si="68"/>
        <v>5</v>
      </c>
      <c r="B97" s="6">
        <f t="shared" si="68"/>
        <v>651201188</v>
      </c>
      <c r="C97" s="78" t="str">
        <f t="shared" si="68"/>
        <v>นางสาวสุมิตรา เลิศขามป้อม</v>
      </c>
      <c r="D97" s="3">
        <f t="shared" si="69"/>
        <v>78.099999999999994</v>
      </c>
      <c r="E97" s="8">
        <f t="shared" si="69"/>
        <v>475.18</v>
      </c>
      <c r="F97" s="204" t="str">
        <f t="shared" si="65"/>
        <v>B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L97" s="1"/>
      <c r="M97" s="1"/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  <c r="U97" s="1"/>
    </row>
    <row r="98" spans="1:21" ht="21" x14ac:dyDescent="0.35">
      <c r="A98" s="6">
        <f t="shared" si="68"/>
        <v>6</v>
      </c>
      <c r="B98" s="6">
        <f t="shared" si="68"/>
        <v>651201189</v>
      </c>
      <c r="C98" s="78" t="str">
        <f t="shared" si="68"/>
        <v>นางสาวสุลักษขณา นนธจิ ันทร์</v>
      </c>
      <c r="D98" s="3">
        <f t="shared" si="69"/>
        <v>80.23</v>
      </c>
      <c r="E98" s="8">
        <f t="shared" si="69"/>
        <v>495.06</v>
      </c>
      <c r="F98" s="204" t="str">
        <f t="shared" si="65"/>
        <v>B+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  <c r="S98" s="1"/>
      <c r="T98" s="1"/>
      <c r="U98" s="1"/>
    </row>
    <row r="99" spans="1:21" ht="21" x14ac:dyDescent="0.35">
      <c r="A99" s="6">
        <f t="shared" si="68"/>
        <v>7</v>
      </c>
      <c r="B99" s="6">
        <f t="shared" si="68"/>
        <v>651201190</v>
      </c>
      <c r="C99" s="78" t="str">
        <f t="shared" si="68"/>
        <v>นางสาวสุวัลชณา คนหาญ</v>
      </c>
      <c r="D99" s="3">
        <f t="shared" si="69"/>
        <v>75.69</v>
      </c>
      <c r="E99" s="8">
        <f t="shared" si="69"/>
        <v>457.71</v>
      </c>
      <c r="F99" s="204" t="str">
        <f t="shared" si="65"/>
        <v>B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  <c r="S99" s="1"/>
      <c r="T99" s="1"/>
      <c r="U99" s="1"/>
    </row>
    <row r="100" spans="1:21" ht="21" x14ac:dyDescent="0.35">
      <c r="A100" s="6">
        <f t="shared" si="68"/>
        <v>8</v>
      </c>
      <c r="B100" s="6">
        <f t="shared" si="68"/>
        <v>651201191</v>
      </c>
      <c r="C100" s="78" t="str">
        <f t="shared" si="68"/>
        <v>นางสาวหทัยรัตน์ ตันเวียง</v>
      </c>
      <c r="D100" s="3">
        <f t="shared" si="69"/>
        <v>89.15</v>
      </c>
      <c r="E100" s="8">
        <f t="shared" si="69"/>
        <v>615.57000000000005</v>
      </c>
      <c r="F100" s="204" t="str">
        <f t="shared" si="65"/>
        <v>A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  <c r="S100" s="1"/>
      <c r="T100" s="1"/>
      <c r="U100" s="1"/>
    </row>
    <row r="101" spans="1:21" ht="21" x14ac:dyDescent="0.35">
      <c r="A101" s="6">
        <f t="shared" si="68"/>
        <v>9</v>
      </c>
      <c r="B101" s="6">
        <f t="shared" si="68"/>
        <v>651201192</v>
      </c>
      <c r="C101" s="78" t="str">
        <f t="shared" si="68"/>
        <v>นายอนนท์ ขะพินจิ</v>
      </c>
      <c r="D101" s="3">
        <f t="shared" si="69"/>
        <v>72.180000000000007</v>
      </c>
      <c r="E101" s="8">
        <f t="shared" si="69"/>
        <v>402.24</v>
      </c>
      <c r="F101" s="204" t="str">
        <f t="shared" si="65"/>
        <v>C+</v>
      </c>
      <c r="G101" s="204"/>
      <c r="H101" s="80"/>
      <c r="I101" s="83" t="s">
        <v>1</v>
      </c>
      <c r="J101" s="83">
        <f>SUM(J92:J100)</f>
        <v>9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  <c r="S101" s="1"/>
      <c r="T101" s="1"/>
      <c r="U101" s="1"/>
    </row>
    <row r="102" spans="1:21" ht="21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 x14ac:dyDescent="0.35">
      <c r="A103" s="2"/>
      <c r="B103" s="2"/>
      <c r="C103" s="79"/>
      <c r="D103" s="19"/>
      <c r="E103" s="19"/>
      <c r="F103" s="42"/>
      <c r="G103" s="42"/>
      <c r="H103" s="42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 x14ac:dyDescent="0.35">
      <c r="A104" s="2"/>
      <c r="B104" s="2"/>
      <c r="C104" s="2"/>
      <c r="D104" s="1"/>
      <c r="E104" s="1"/>
      <c r="F104" s="1"/>
      <c r="G104" s="1"/>
      <c r="H104" s="1"/>
      <c r="I104" s="45"/>
      <c r="J104" s="4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 x14ac:dyDescent="0.35">
      <c r="A105" s="2"/>
      <c r="B105" s="85" t="s">
        <v>147</v>
      </c>
      <c r="C105" s="2"/>
      <c r="D105" s="1"/>
      <c r="E105" s="1"/>
      <c r="F105" s="1"/>
      <c r="G105" s="1"/>
      <c r="H105" s="1"/>
      <c r="I105" s="45"/>
      <c r="J105" s="45"/>
      <c r="K105" s="45"/>
      <c r="L105" s="1" t="s">
        <v>2</v>
      </c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H106" s="1"/>
      <c r="I106" s="5" t="s">
        <v>38</v>
      </c>
      <c r="J106" s="9"/>
      <c r="K106" s="1"/>
      <c r="L106" s="5"/>
      <c r="M106" s="1"/>
      <c r="N106" s="1"/>
      <c r="O106" s="5" t="s">
        <v>39</v>
      </c>
      <c r="P106" s="1"/>
      <c r="Q106" s="9"/>
      <c r="R106" s="1"/>
      <c r="S106" s="1"/>
      <c r="T106" s="1"/>
      <c r="U106" s="1"/>
    </row>
    <row r="107" spans="1:21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H107" s="1"/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N107" s="1"/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  <c r="U107" s="1"/>
    </row>
    <row r="108" spans="1:21" ht="21" x14ac:dyDescent="0.35">
      <c r="A108" s="6">
        <f>A8</f>
        <v>1</v>
      </c>
      <c r="B108" s="6">
        <f t="shared" ref="B108:C108" si="70">B8</f>
        <v>651201184</v>
      </c>
      <c r="C108" s="78" t="str">
        <f t="shared" si="70"/>
        <v>นางสาวสิริรัตน์ ดวงเสนา</v>
      </c>
      <c r="D108" s="3">
        <f>ROUND(SUM(E8,H8,K8,N8,Q8,T8,E24,H24,K24,N24,Q24,T24,E41,H41,K41,N41,Q41,T41,E58,H58,K58,N58,Q58,T58,E75,H75,K75,N75,Q75,T75),2)</f>
        <v>91.66</v>
      </c>
      <c r="E108" s="3">
        <f>ROUND(SUM(F8,I8,L8,O8,R8,U8,F24,I24,L24,O24,R24,U24,F41,I41,L41,O41,R41,U41,F58,I58,L58,O58,R58,U58,F75,I75,L75,O75,R75,U75),2)</f>
        <v>666.16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A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H108" s="1"/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N108" s="1"/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  <c r="U108" s="1"/>
    </row>
    <row r="109" spans="1:21" ht="21" x14ac:dyDescent="0.35">
      <c r="A109" s="6">
        <f t="shared" ref="A109:C117" si="72">A9</f>
        <v>2</v>
      </c>
      <c r="B109" s="6">
        <f t="shared" si="72"/>
        <v>651201185</v>
      </c>
      <c r="C109" s="78" t="str">
        <f t="shared" si="72"/>
        <v>นางสาวสิริวิมล คุณสิงห์</v>
      </c>
      <c r="D109" s="3">
        <f t="shared" ref="D109:E117" si="73">ROUND(SUM(E9,H9,K9,N9,Q9,T9,E25,H25,K25,N25,Q25,T25,E42,H42,K42,N42,Q42,T42,E59,H59,K59,N59,Q59,T59,E76,H76,K76,N76,Q76,T76),2)</f>
        <v>82.91</v>
      </c>
      <c r="E109" s="3">
        <f t="shared" si="73"/>
        <v>533.32000000000005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B+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H109" s="1"/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N109" s="1"/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  <c r="U109" s="1"/>
    </row>
    <row r="110" spans="1:21" ht="21" x14ac:dyDescent="0.35">
      <c r="A110" s="6">
        <f t="shared" si="72"/>
        <v>3</v>
      </c>
      <c r="B110" s="6">
        <f t="shared" si="72"/>
        <v>651201186</v>
      </c>
      <c r="C110" s="78" t="str">
        <f t="shared" si="72"/>
        <v>นางสาวสุทัตตา คำพรมมี</v>
      </c>
      <c r="D110" s="3">
        <f t="shared" si="73"/>
        <v>83.68</v>
      </c>
      <c r="E110" s="3">
        <f t="shared" si="73"/>
        <v>558.65</v>
      </c>
      <c r="F110" s="7" t="str">
        <f t="shared" si="74"/>
        <v>B+</v>
      </c>
      <c r="G110" s="7" t="str">
        <f t="shared" si="75"/>
        <v>-</v>
      </c>
      <c r="H110" s="1"/>
      <c r="I110" s="47">
        <f>IF(OR($E$128=8,$E$128=6,$E$128=4),$J$111+0.01,"-")</f>
        <v>592.82000000000005</v>
      </c>
      <c r="J110" s="47">
        <f>IF(OR($E$128=8,$E$128=6,$E$128=4),$I$110+$E$129,"-")</f>
        <v>658.80000000000007</v>
      </c>
      <c r="K110" s="91">
        <f t="shared" si="76"/>
        <v>65.980000000000018</v>
      </c>
      <c r="L110" s="7" t="str">
        <f>IF($E$128=8,$C$126,IF($E$128=6,$C$125,IF($E$128=4,$C$124,"-")))</f>
        <v>A</v>
      </c>
      <c r="M110" s="27">
        <f t="shared" si="77"/>
        <v>2</v>
      </c>
      <c r="N110" s="1"/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  <c r="U110" s="1"/>
    </row>
    <row r="111" spans="1:21" ht="21" x14ac:dyDescent="0.35">
      <c r="A111" s="6">
        <f t="shared" si="72"/>
        <v>4</v>
      </c>
      <c r="B111" s="6">
        <f t="shared" si="72"/>
        <v>651201187</v>
      </c>
      <c r="C111" s="78" t="str">
        <f t="shared" si="72"/>
        <v>นางสาวสุธิดา บุญประเสริฐ</v>
      </c>
      <c r="D111" s="3">
        <f t="shared" si="73"/>
        <v>82.24</v>
      </c>
      <c r="E111" s="3">
        <f t="shared" si="73"/>
        <v>537.57000000000005</v>
      </c>
      <c r="F111" s="7" t="str">
        <f t="shared" si="74"/>
        <v>B+</v>
      </c>
      <c r="G111" s="7" t="str">
        <f t="shared" si="75"/>
        <v>-</v>
      </c>
      <c r="H111" s="1"/>
      <c r="I111" s="88">
        <f>IF(OR($E$128=2,$E$128=4,$E$128=6,$E$128=8),$E$124,"-")</f>
        <v>526.83000000000004</v>
      </c>
      <c r="J111" s="61">
        <f>IF(OR($E$128=2,$E$128=4,$E$128=6,$E$128=8),$E$124+E129,"-")</f>
        <v>592.81000000000006</v>
      </c>
      <c r="K111" s="91">
        <f t="shared" si="76"/>
        <v>65.980000000000018</v>
      </c>
      <c r="L111" s="7" t="str">
        <f>IF($E$128=8,$C$127,IF($E$128=6,$C$126,IF($E$128=4,$C$125,IF($E$128=2,$C$124,"-"))))</f>
        <v>B+</v>
      </c>
      <c r="M111" s="27">
        <f t="shared" si="77"/>
        <v>3</v>
      </c>
      <c r="N111" s="1"/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  <c r="U111" s="1"/>
    </row>
    <row r="112" spans="1:21" ht="21" x14ac:dyDescent="0.35">
      <c r="A112" s="6">
        <f t="shared" si="72"/>
        <v>5</v>
      </c>
      <c r="B112" s="6">
        <f t="shared" si="72"/>
        <v>651201188</v>
      </c>
      <c r="C112" s="78" t="str">
        <f t="shared" si="72"/>
        <v>นางสาวสุมิตรา เลิศขามป้อม</v>
      </c>
      <c r="D112" s="3">
        <f t="shared" si="73"/>
        <v>78.099999999999994</v>
      </c>
      <c r="E112" s="3">
        <f t="shared" si="73"/>
        <v>475.18</v>
      </c>
      <c r="F112" s="7" t="str">
        <f t="shared" si="74"/>
        <v>B</v>
      </c>
      <c r="G112" s="7" t="str">
        <f t="shared" si="75"/>
        <v>-</v>
      </c>
      <c r="H112" s="1"/>
      <c r="I112" s="47">
        <f>IF(OR($E$128=2,$E$128=4,$E$128=6,$E$128=8),$J$112-$E$129,"-")</f>
        <v>460.84000000000003</v>
      </c>
      <c r="J112" s="61">
        <f>IF(OR($E$128=2,$E$128=4,$E$128=6,$E$128=8),$E$124-0.01,"-")</f>
        <v>526.82000000000005</v>
      </c>
      <c r="K112" s="91">
        <f t="shared" si="76"/>
        <v>65.980000000000018</v>
      </c>
      <c r="L112" s="7" t="str">
        <f>IF($E$128=8,$C$128,IF($E$128=6,$C$127,IF($E$128=4,$C$126,IF($E$128=2,$C$125,"-"))))</f>
        <v>B</v>
      </c>
      <c r="M112" s="27">
        <f t="shared" si="77"/>
        <v>2</v>
      </c>
      <c r="N112" s="1"/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  <c r="U112" s="1"/>
    </row>
    <row r="113" spans="1:21" ht="21" x14ac:dyDescent="0.35">
      <c r="A113" s="6">
        <f t="shared" si="72"/>
        <v>6</v>
      </c>
      <c r="B113" s="6">
        <f t="shared" si="72"/>
        <v>651201189</v>
      </c>
      <c r="C113" s="78" t="str">
        <f t="shared" si="72"/>
        <v>นางสาวสุลักษขณา นนธจิ ันทร์</v>
      </c>
      <c r="D113" s="3">
        <f t="shared" si="73"/>
        <v>80.23</v>
      </c>
      <c r="E113" s="3">
        <f t="shared" si="73"/>
        <v>495.06</v>
      </c>
      <c r="F113" s="7" t="str">
        <f t="shared" si="74"/>
        <v>B</v>
      </c>
      <c r="G113" s="7" t="str">
        <f t="shared" si="75"/>
        <v>-</v>
      </c>
      <c r="H113" s="1"/>
      <c r="I113" s="47">
        <f>IF(OR($E$128=4,$E$128=6,$E$128=8),$J$113-$E$129,"-")</f>
        <v>394.85</v>
      </c>
      <c r="J113" s="47">
        <f>IF(OR($E$128=8,$E$128=6,$E$128=4),$I$112-0.01,"-")</f>
        <v>460.83000000000004</v>
      </c>
      <c r="K113" s="91">
        <f t="shared" si="76"/>
        <v>65.980000000000018</v>
      </c>
      <c r="L113" s="7" t="str">
        <f>IF($E$128=8,$C$129,IF($E$128=6,$C$128,IF($E$128=4,$C$127,"-")))</f>
        <v>C+</v>
      </c>
      <c r="M113" s="27">
        <f t="shared" si="77"/>
        <v>2</v>
      </c>
      <c r="N113" s="1"/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  <c r="U113" s="1"/>
    </row>
    <row r="114" spans="1:21" ht="22" thickBot="1" x14ac:dyDescent="0.4">
      <c r="A114" s="6">
        <f t="shared" si="72"/>
        <v>7</v>
      </c>
      <c r="B114" s="6">
        <f t="shared" si="72"/>
        <v>651201190</v>
      </c>
      <c r="C114" s="78" t="str">
        <f t="shared" si="72"/>
        <v>นางสาวสุวัลชณา คนหาญ</v>
      </c>
      <c r="D114" s="3">
        <f t="shared" si="73"/>
        <v>75.69</v>
      </c>
      <c r="E114" s="3">
        <f t="shared" si="73"/>
        <v>457.71</v>
      </c>
      <c r="F114" s="7" t="str">
        <f t="shared" si="74"/>
        <v>C+</v>
      </c>
      <c r="G114" s="7" t="str">
        <f t="shared" si="75"/>
        <v>-</v>
      </c>
      <c r="H114" s="1"/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N114" s="1"/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  <c r="U114" s="1"/>
    </row>
    <row r="115" spans="1:21" ht="22" thickBot="1" x14ac:dyDescent="0.4">
      <c r="A115" s="6">
        <f t="shared" si="72"/>
        <v>8</v>
      </c>
      <c r="B115" s="6">
        <f t="shared" si="72"/>
        <v>651201191</v>
      </c>
      <c r="C115" s="78" t="str">
        <f t="shared" si="72"/>
        <v>นางสาวหทัยรัตน์ ตันเวียง</v>
      </c>
      <c r="D115" s="3">
        <f t="shared" si="73"/>
        <v>89.15</v>
      </c>
      <c r="E115" s="3">
        <f t="shared" si="73"/>
        <v>615.57000000000005</v>
      </c>
      <c r="F115" s="7" t="str">
        <f t="shared" si="74"/>
        <v>A</v>
      </c>
      <c r="G115" s="7" t="str">
        <f t="shared" si="75"/>
        <v>-</v>
      </c>
      <c r="H115" s="1"/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N115" s="1"/>
      <c r="O115" s="259" t="s">
        <v>1</v>
      </c>
      <c r="P115" s="259"/>
      <c r="Q115" s="259"/>
      <c r="R115" s="259"/>
      <c r="S115" s="259"/>
      <c r="T115" s="94">
        <f>SUM(T108:T114)</f>
        <v>0</v>
      </c>
      <c r="U115" s="1"/>
    </row>
    <row r="116" spans="1:21" ht="22" thickBot="1" x14ac:dyDescent="0.4">
      <c r="A116" s="6">
        <f t="shared" si="72"/>
        <v>9</v>
      </c>
      <c r="B116" s="6">
        <f t="shared" si="72"/>
        <v>651201192</v>
      </c>
      <c r="C116" s="78" t="str">
        <f t="shared" si="72"/>
        <v>นายอนนท์ ขะพินจิ</v>
      </c>
      <c r="D116" s="3">
        <f t="shared" si="73"/>
        <v>72.180000000000007</v>
      </c>
      <c r="E116" s="3">
        <f t="shared" si="73"/>
        <v>402.24</v>
      </c>
      <c r="F116" s="7" t="str">
        <f t="shared" si="74"/>
        <v>C+</v>
      </c>
      <c r="G116" s="7" t="str">
        <f t="shared" si="75"/>
        <v>-</v>
      </c>
      <c r="H116" s="1"/>
      <c r="I116" s="218" t="s">
        <v>1</v>
      </c>
      <c r="J116" s="219"/>
      <c r="K116" s="219"/>
      <c r="L116" s="220"/>
      <c r="M116" s="94">
        <f>SUM(M108:M115)</f>
        <v>9</v>
      </c>
      <c r="N116" s="1"/>
      <c r="O116" s="1"/>
      <c r="P116" s="1"/>
      <c r="Q116" s="1"/>
      <c r="R116" s="1"/>
      <c r="S116" s="1"/>
      <c r="T116" s="1"/>
      <c r="U116" s="1"/>
    </row>
    <row r="117" spans="1:21" ht="21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 x14ac:dyDescent="0.35">
      <c r="A118" s="2"/>
      <c r="B118" s="2"/>
      <c r="C118" s="79"/>
      <c r="D118" s="9"/>
      <c r="E118" s="9"/>
      <c r="F118" s="42"/>
      <c r="G118" s="4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 x14ac:dyDescent="0.35">
      <c r="A119" s="2"/>
      <c r="B119" s="2"/>
      <c r="C119" s="79"/>
      <c r="D119" s="9"/>
      <c r="E119" s="9"/>
      <c r="F119" s="42"/>
      <c r="G119" s="4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 x14ac:dyDescent="0.35">
      <c r="A120" s="2"/>
      <c r="B120" s="2"/>
      <c r="C120" s="79"/>
      <c r="D120" s="9"/>
      <c r="E120" s="9"/>
      <c r="F120" s="42"/>
      <c r="G120" s="4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 x14ac:dyDescent="0.35">
      <c r="A121" s="2"/>
      <c r="B121" s="2"/>
      <c r="C121" s="79"/>
      <c r="D121" s="9"/>
      <c r="E121" s="9"/>
      <c r="F121" s="42"/>
      <c r="G121" s="4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 x14ac:dyDescent="0.35">
      <c r="A122" s="2"/>
      <c r="B122" s="2"/>
      <c r="C122" s="79"/>
      <c r="D122" s="9"/>
      <c r="E122" s="9"/>
      <c r="F122" s="42"/>
      <c r="G122" s="4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 x14ac:dyDescent="0.35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 x14ac:dyDescent="0.35">
      <c r="A124" s="2"/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526.83000000000004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 x14ac:dyDescent="0.35">
      <c r="A125" s="2"/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666.16</v>
      </c>
      <c r="F125" s="1"/>
      <c r="G125" s="1"/>
      <c r="H125" s="1"/>
      <c r="I125" s="1"/>
      <c r="J125" s="1"/>
      <c r="K125" s="1"/>
      <c r="L125" s="1"/>
      <c r="M125" s="1"/>
      <c r="N125" s="1"/>
      <c r="O125" s="1" t="s">
        <v>154</v>
      </c>
      <c r="P125" s="1"/>
      <c r="Q125" s="1"/>
      <c r="R125" s="1"/>
      <c r="S125" s="1"/>
      <c r="T125" s="1"/>
      <c r="U125" s="1"/>
    </row>
    <row r="126" spans="1:21" ht="21" x14ac:dyDescent="0.35">
      <c r="A126" s="2"/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402.24</v>
      </c>
      <c r="F126" s="1"/>
      <c r="G126" s="1"/>
      <c r="H126" s="1"/>
      <c r="I126" s="1"/>
      <c r="J126" s="1"/>
      <c r="K126" s="1"/>
      <c r="L126" s="1"/>
      <c r="M126" s="1"/>
      <c r="N126" s="1"/>
      <c r="O126" s="1">
        <v>1</v>
      </c>
      <c r="P126" s="1" t="s">
        <v>137</v>
      </c>
      <c r="Q126" s="1"/>
      <c r="R126" s="1"/>
      <c r="S126" s="1"/>
      <c r="T126" s="1"/>
      <c r="U126" s="1"/>
    </row>
    <row r="127" spans="1:21" ht="21" x14ac:dyDescent="0.35">
      <c r="A127" s="2"/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263.92</v>
      </c>
      <c r="F127" s="1"/>
      <c r="G127" s="1"/>
      <c r="H127" s="1"/>
      <c r="I127" s="1"/>
      <c r="J127" s="1"/>
      <c r="K127" s="1"/>
      <c r="L127" s="1"/>
      <c r="M127" s="1"/>
      <c r="N127" s="1"/>
      <c r="O127" s="1">
        <v>2</v>
      </c>
      <c r="P127" s="1" t="s">
        <v>155</v>
      </c>
      <c r="Q127" s="1"/>
      <c r="R127" s="1"/>
      <c r="S127" s="1"/>
      <c r="T127" s="1"/>
      <c r="U127" s="1"/>
    </row>
    <row r="128" spans="1:21" ht="21" x14ac:dyDescent="0.35">
      <c r="A128" s="2"/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G128" s="1"/>
      <c r="H128" s="1"/>
      <c r="I128" s="1"/>
      <c r="J128" s="1"/>
      <c r="K128" s="1"/>
      <c r="L128" s="1"/>
      <c r="M128" s="1"/>
      <c r="N128" s="1"/>
      <c r="O128" s="1">
        <v>3</v>
      </c>
      <c r="P128" s="1" t="s">
        <v>156</v>
      </c>
      <c r="Q128" s="1"/>
      <c r="R128" s="1"/>
      <c r="S128" s="1"/>
      <c r="T128" s="1"/>
      <c r="U128" s="1"/>
    </row>
    <row r="129" spans="1:21" ht="21" x14ac:dyDescent="0.35">
      <c r="A129" s="2"/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65.98</v>
      </c>
      <c r="F129" s="1"/>
      <c r="G129" s="1"/>
      <c r="H129" s="1"/>
      <c r="I129" s="1"/>
      <c r="J129" s="1"/>
      <c r="K129" s="1"/>
      <c r="L129" s="1"/>
      <c r="M129" s="1"/>
      <c r="N129" s="1"/>
      <c r="O129" s="202"/>
      <c r="P129" s="202"/>
      <c r="Q129" s="202"/>
      <c r="R129" s="202"/>
      <c r="S129" s="202"/>
      <c r="T129" s="1"/>
      <c r="U129" s="1"/>
    </row>
    <row r="130" spans="1:21" ht="21" x14ac:dyDescent="0.35">
      <c r="A130" s="2"/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G130" s="1"/>
      <c r="H130" s="1"/>
      <c r="I130" s="1"/>
      <c r="J130" s="1"/>
      <c r="K130" s="1"/>
      <c r="L130" s="1"/>
      <c r="M130" s="1"/>
      <c r="N130" s="1"/>
      <c r="O130" s="202"/>
      <c r="P130" s="202"/>
      <c r="Q130" s="202"/>
      <c r="R130" s="202"/>
      <c r="S130" s="202"/>
      <c r="T130" s="1"/>
      <c r="U130" s="1"/>
    </row>
    <row r="131" spans="1:21" ht="21" x14ac:dyDescent="0.35">
      <c r="A131" s="2"/>
      <c r="B131" s="6">
        <f>$B$124-3.5</f>
        <v>0.5</v>
      </c>
      <c r="C131" s="6" t="str">
        <f t="shared" si="80"/>
        <v>E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1"/>
      <c r="P131" s="221"/>
      <c r="Q131" s="221"/>
      <c r="R131" s="221"/>
      <c r="S131" s="221"/>
      <c r="T131" s="1"/>
      <c r="U131" s="1"/>
    </row>
    <row r="132" spans="1:21" ht="21" x14ac:dyDescent="0.35">
      <c r="A132" s="2"/>
      <c r="B132" s="6">
        <f>$B$124-4</f>
        <v>0</v>
      </c>
      <c r="C132" s="6" t="str">
        <f>IF(B132=4,"A",IF(B132=3.5,"B+",IF(B132=3,"B",IF(B132=2.5,"C+",IF(B132=2,"C",IF(B132=1.5,"D+",IF(B132=1,"D","E")))))))</f>
        <v>E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 x14ac:dyDescent="0.35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 x14ac:dyDescent="0.35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 x14ac:dyDescent="0.35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 x14ac:dyDescent="0.35">
      <c r="A136" s="2"/>
      <c r="B136" s="2"/>
      <c r="C136" s="256" t="s">
        <v>188</v>
      </c>
      <c r="D136" s="256"/>
      <c r="E136" s="256"/>
      <c r="F136" s="1"/>
      <c r="G136" s="1">
        <v>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 x14ac:dyDescent="0.35">
      <c r="A139" s="6">
        <f>A8</f>
        <v>1</v>
      </c>
      <c r="B139" s="6">
        <f t="shared" ref="B139:C139" si="81">B8</f>
        <v>651201184</v>
      </c>
      <c r="C139" s="78" t="str">
        <f t="shared" si="81"/>
        <v>นางสาวสิริรัตน์ ดวงเสนา</v>
      </c>
      <c r="D139" s="3">
        <f>D93</f>
        <v>91.66</v>
      </c>
      <c r="E139" s="3">
        <f>E93</f>
        <v>666.16</v>
      </c>
      <c r="F139" s="204" t="str">
        <f>IF($G$136=1,F93,IF($G$136=2,F108,G108))</f>
        <v>A</v>
      </c>
      <c r="G139" s="20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 x14ac:dyDescent="0.35">
      <c r="A140" s="6">
        <f t="shared" ref="A140:C148" si="82">A9</f>
        <v>2</v>
      </c>
      <c r="B140" s="6">
        <f t="shared" si="82"/>
        <v>651201185</v>
      </c>
      <c r="C140" s="78" t="str">
        <f t="shared" si="82"/>
        <v>นางสาวสิริวิมล คุณสิงห์</v>
      </c>
      <c r="D140" s="3">
        <f t="shared" ref="D140:E148" si="83">D94</f>
        <v>82.91</v>
      </c>
      <c r="E140" s="3">
        <f t="shared" si="83"/>
        <v>533.32000000000005</v>
      </c>
      <c r="F140" s="204" t="str">
        <f t="shared" ref="F140:F148" si="84">IF($G$136=1,F94,IF($G$136=2,F109,G109))</f>
        <v>B+</v>
      </c>
      <c r="G140" s="20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 x14ac:dyDescent="0.35">
      <c r="A141" s="6">
        <f t="shared" si="82"/>
        <v>3</v>
      </c>
      <c r="B141" s="6">
        <f t="shared" si="82"/>
        <v>651201186</v>
      </c>
      <c r="C141" s="78" t="str">
        <f t="shared" si="82"/>
        <v>นางสาวสุทัตตา คำพรมมี</v>
      </c>
      <c r="D141" s="3">
        <f t="shared" si="83"/>
        <v>83.68</v>
      </c>
      <c r="E141" s="3">
        <f t="shared" si="83"/>
        <v>558.65</v>
      </c>
      <c r="F141" s="204" t="str">
        <f t="shared" si="84"/>
        <v>B+</v>
      </c>
      <c r="G141" s="20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 x14ac:dyDescent="0.35">
      <c r="A142" s="6">
        <f t="shared" si="82"/>
        <v>4</v>
      </c>
      <c r="B142" s="6">
        <f t="shared" si="82"/>
        <v>651201187</v>
      </c>
      <c r="C142" s="78" t="str">
        <f t="shared" si="82"/>
        <v>นางสาวสุธิดา บุญประเสริฐ</v>
      </c>
      <c r="D142" s="3">
        <f t="shared" si="83"/>
        <v>82.24</v>
      </c>
      <c r="E142" s="3">
        <f t="shared" si="83"/>
        <v>537.57000000000005</v>
      </c>
      <c r="F142" s="204" t="str">
        <f t="shared" si="84"/>
        <v>B+</v>
      </c>
      <c r="G142" s="20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 x14ac:dyDescent="0.35">
      <c r="A143" s="6">
        <f t="shared" si="82"/>
        <v>5</v>
      </c>
      <c r="B143" s="6">
        <f t="shared" si="82"/>
        <v>651201188</v>
      </c>
      <c r="C143" s="78" t="str">
        <f t="shared" si="82"/>
        <v>นางสาวสุมิตรา เลิศขามป้อม</v>
      </c>
      <c r="D143" s="3">
        <f t="shared" si="83"/>
        <v>78.099999999999994</v>
      </c>
      <c r="E143" s="3">
        <f t="shared" si="83"/>
        <v>475.18</v>
      </c>
      <c r="F143" s="204" t="str">
        <f t="shared" si="84"/>
        <v>B</v>
      </c>
      <c r="G143" s="20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 x14ac:dyDescent="0.35">
      <c r="A144" s="6">
        <f t="shared" si="82"/>
        <v>6</v>
      </c>
      <c r="B144" s="6">
        <f t="shared" si="82"/>
        <v>651201189</v>
      </c>
      <c r="C144" s="78" t="str">
        <f t="shared" si="82"/>
        <v>นางสาวสุลักษขณา นนธจิ ันทร์</v>
      </c>
      <c r="D144" s="3">
        <f t="shared" si="83"/>
        <v>80.23</v>
      </c>
      <c r="E144" s="3">
        <f t="shared" si="83"/>
        <v>495.06</v>
      </c>
      <c r="F144" s="204" t="str">
        <f t="shared" si="84"/>
        <v>B+</v>
      </c>
      <c r="G144" s="20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 x14ac:dyDescent="0.35">
      <c r="A145" s="6">
        <f t="shared" si="82"/>
        <v>7</v>
      </c>
      <c r="B145" s="6">
        <f t="shared" si="82"/>
        <v>651201190</v>
      </c>
      <c r="C145" s="78" t="str">
        <f t="shared" si="82"/>
        <v>นางสาวสุวัลชณา คนหาญ</v>
      </c>
      <c r="D145" s="3">
        <f t="shared" si="83"/>
        <v>75.69</v>
      </c>
      <c r="E145" s="3">
        <f t="shared" si="83"/>
        <v>457.71</v>
      </c>
      <c r="F145" s="204" t="str">
        <f t="shared" si="84"/>
        <v>B</v>
      </c>
      <c r="G145" s="20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 x14ac:dyDescent="0.35">
      <c r="A146" s="6">
        <f t="shared" si="82"/>
        <v>8</v>
      </c>
      <c r="B146" s="6">
        <f t="shared" si="82"/>
        <v>651201191</v>
      </c>
      <c r="C146" s="78" t="str">
        <f t="shared" si="82"/>
        <v>นางสาวหทัยรัตน์ ตันเวียง</v>
      </c>
      <c r="D146" s="3">
        <f t="shared" si="83"/>
        <v>89.15</v>
      </c>
      <c r="E146" s="3">
        <f t="shared" si="83"/>
        <v>615.57000000000005</v>
      </c>
      <c r="F146" s="204" t="str">
        <f t="shared" si="84"/>
        <v>A</v>
      </c>
      <c r="G146" s="20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 x14ac:dyDescent="0.35">
      <c r="A147" s="6">
        <f t="shared" si="82"/>
        <v>9</v>
      </c>
      <c r="B147" s="6">
        <f t="shared" si="82"/>
        <v>651201192</v>
      </c>
      <c r="C147" s="78" t="str">
        <f t="shared" si="82"/>
        <v>นายอนนท์ ขะพินจิ</v>
      </c>
      <c r="D147" s="3">
        <f t="shared" si="83"/>
        <v>72.180000000000007</v>
      </c>
      <c r="E147" s="3">
        <f t="shared" si="83"/>
        <v>402.24</v>
      </c>
      <c r="F147" s="204" t="str">
        <f t="shared" si="84"/>
        <v>C+</v>
      </c>
      <c r="G147" s="20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 x14ac:dyDescent="0.35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</sheetData>
  <protectedRanges>
    <protectedRange sqref="A8:D17" name="ช่วง1"/>
  </protectedRanges>
  <mergeCells count="100">
    <mergeCell ref="F146:G146"/>
    <mergeCell ref="F147:G147"/>
    <mergeCell ref="F148:G148"/>
    <mergeCell ref="F140:G140"/>
    <mergeCell ref="F141:G141"/>
    <mergeCell ref="F142:G142"/>
    <mergeCell ref="F143:G143"/>
    <mergeCell ref="F144:G144"/>
    <mergeCell ref="F145:G145"/>
    <mergeCell ref="A137:A138"/>
    <mergeCell ref="B137:B138"/>
    <mergeCell ref="C137:C138"/>
    <mergeCell ref="D137:G137"/>
    <mergeCell ref="F138:G138"/>
    <mergeCell ref="F139:G139"/>
    <mergeCell ref="O115:S115"/>
    <mergeCell ref="I116:L116"/>
    <mergeCell ref="O129:S129"/>
    <mergeCell ref="O130:S130"/>
    <mergeCell ref="O131:S131"/>
    <mergeCell ref="C136:E136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J72:L72"/>
    <mergeCell ref="M72:O72"/>
    <mergeCell ref="P72:R72"/>
    <mergeCell ref="S72:U72"/>
    <mergeCell ref="A91:A92"/>
    <mergeCell ref="B91:B92"/>
    <mergeCell ref="C91:C92"/>
    <mergeCell ref="D91:G91"/>
    <mergeCell ref="P91:Q91"/>
    <mergeCell ref="F92:G92"/>
    <mergeCell ref="P92:Q92"/>
    <mergeCell ref="A72:A74"/>
    <mergeCell ref="B72:B74"/>
    <mergeCell ref="C72:C74"/>
    <mergeCell ref="D72:F72"/>
    <mergeCell ref="G72:I72"/>
    <mergeCell ref="S38:U38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S55:U55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D20:U20"/>
    <mergeCell ref="A21:A23"/>
    <mergeCell ref="B21:B23"/>
    <mergeCell ref="C21:C23"/>
    <mergeCell ref="D21:F21"/>
    <mergeCell ref="G21:I21"/>
    <mergeCell ref="J21:L21"/>
    <mergeCell ref="M21:O21"/>
    <mergeCell ref="P21:R21"/>
    <mergeCell ref="S21:U21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61" r:id="rId3" name="Drop Down 1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127000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3913-AD8A-9242-B2DE-3363B47689DB}">
  <sheetPr>
    <tabColor theme="9" tint="0.59999389629810485"/>
  </sheetPr>
  <dimension ref="A1:U149"/>
  <sheetViews>
    <sheetView zoomScale="75" workbookViewId="0">
      <selection sqref="A1:U3"/>
    </sheetView>
  </sheetViews>
  <sheetFormatPr baseColWidth="10" defaultRowHeight="15" x14ac:dyDescent="0.2"/>
  <cols>
    <col min="1" max="1" width="11" bestFit="1" customWidth="1"/>
    <col min="2" max="2" width="13.1640625" bestFit="1" customWidth="1"/>
    <col min="3" max="3" width="23.83203125" customWidth="1"/>
    <col min="4" max="21" width="11" bestFit="1" customWidth="1"/>
  </cols>
  <sheetData>
    <row r="1" spans="1:21" ht="21" x14ac:dyDescent="0.2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21" x14ac:dyDescent="0.2">
      <c r="A2" s="247" t="s">
        <v>319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1" x14ac:dyDescent="0.2">
      <c r="A3" s="247" t="s">
        <v>320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1" ht="21" x14ac:dyDescent="0.35">
      <c r="A4" s="2"/>
      <c r="B4" s="2"/>
      <c r="C4" s="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21" x14ac:dyDescent="0.2">
      <c r="A5" s="204" t="s">
        <v>76</v>
      </c>
      <c r="B5" s="204" t="s">
        <v>12</v>
      </c>
      <c r="C5" s="204" t="s">
        <v>0</v>
      </c>
      <c r="D5" s="248" t="s">
        <v>196</v>
      </c>
      <c r="E5" s="248"/>
      <c r="F5" s="248"/>
      <c r="G5" s="248" t="s">
        <v>195</v>
      </c>
      <c r="H5" s="248"/>
      <c r="I5" s="248"/>
      <c r="J5" s="248" t="s">
        <v>197</v>
      </c>
      <c r="K5" s="248"/>
      <c r="L5" s="248"/>
      <c r="M5" s="248" t="s">
        <v>198</v>
      </c>
      <c r="N5" s="248"/>
      <c r="O5" s="248"/>
      <c r="P5" s="248" t="s">
        <v>215</v>
      </c>
      <c r="Q5" s="248"/>
      <c r="R5" s="248"/>
      <c r="S5" s="248" t="s">
        <v>214</v>
      </c>
      <c r="T5" s="248"/>
      <c r="U5" s="248"/>
    </row>
    <row r="6" spans="1:21" ht="21" x14ac:dyDescent="0.2">
      <c r="A6" s="204"/>
      <c r="B6" s="204"/>
      <c r="C6" s="204"/>
      <c r="D6" s="44" t="s">
        <v>17</v>
      </c>
      <c r="E6" s="44" t="s">
        <v>6</v>
      </c>
      <c r="F6" s="44" t="s">
        <v>3</v>
      </c>
      <c r="G6" s="44" t="s">
        <v>17</v>
      </c>
      <c r="H6" s="44" t="s">
        <v>6</v>
      </c>
      <c r="I6" s="44" t="s">
        <v>3</v>
      </c>
      <c r="J6" s="44" t="s">
        <v>17</v>
      </c>
      <c r="K6" s="44" t="s">
        <v>6</v>
      </c>
      <c r="L6" s="44" t="s">
        <v>3</v>
      </c>
      <c r="M6" s="44" t="s">
        <v>17</v>
      </c>
      <c r="N6" s="44" t="s">
        <v>6</v>
      </c>
      <c r="O6" s="44" t="s">
        <v>3</v>
      </c>
      <c r="P6" s="44" t="s">
        <v>17</v>
      </c>
      <c r="Q6" s="44" t="s">
        <v>6</v>
      </c>
      <c r="R6" s="44" t="s">
        <v>3</v>
      </c>
      <c r="S6" s="44" t="s">
        <v>17</v>
      </c>
      <c r="T6" s="44" t="s">
        <v>6</v>
      </c>
      <c r="U6" s="44" t="s">
        <v>3</v>
      </c>
    </row>
    <row r="7" spans="1:21" ht="21" x14ac:dyDescent="0.35">
      <c r="A7" s="204"/>
      <c r="B7" s="204"/>
      <c r="C7" s="204"/>
      <c r="D7" s="99">
        <v>175</v>
      </c>
      <c r="E7" s="99">
        <v>60</v>
      </c>
      <c r="F7" s="74">
        <f>$E$7/10</f>
        <v>6</v>
      </c>
      <c r="G7" s="99">
        <v>75</v>
      </c>
      <c r="H7" s="99">
        <v>10</v>
      </c>
      <c r="I7" s="74">
        <f>$H$7/10</f>
        <v>1</v>
      </c>
      <c r="J7" s="99">
        <v>50</v>
      </c>
      <c r="K7" s="99">
        <v>10</v>
      </c>
      <c r="L7" s="75">
        <f>$K$7/10</f>
        <v>1</v>
      </c>
      <c r="M7" s="99">
        <v>30</v>
      </c>
      <c r="N7" s="99">
        <v>5</v>
      </c>
      <c r="O7" s="74">
        <f>$N$7/10</f>
        <v>0.5</v>
      </c>
      <c r="P7" s="99">
        <v>90</v>
      </c>
      <c r="Q7" s="99">
        <v>10</v>
      </c>
      <c r="R7" s="74">
        <f>$Q$7/10</f>
        <v>1</v>
      </c>
      <c r="S7" s="99">
        <v>20</v>
      </c>
      <c r="T7" s="99">
        <v>5</v>
      </c>
      <c r="U7" s="74">
        <f>$Q$7/10</f>
        <v>1</v>
      </c>
    </row>
    <row r="8" spans="1:21" ht="27" x14ac:dyDescent="0.45">
      <c r="A8" s="95">
        <v>1</v>
      </c>
      <c r="B8" s="305">
        <v>651201193</v>
      </c>
      <c r="C8" s="305" t="s">
        <v>308</v>
      </c>
      <c r="D8" s="69">
        <v>146</v>
      </c>
      <c r="E8" s="8">
        <f>IF(D8="-","-",IF(D8=0,0,(D8*$E$7)/$D$7))</f>
        <v>50.057142857142857</v>
      </c>
      <c r="F8" s="3">
        <f>IF(D8="-","-",IF(D8=0,0,IF($D$19=0,50,(50+(10*(STANDARDIZE(D8,$D$18,$D$19)))))*$F$7))</f>
        <v>278.61910064700612</v>
      </c>
      <c r="G8" s="69">
        <v>58</v>
      </c>
      <c r="H8" s="8">
        <f>IF(G8="-","-",IF(G8=0,0,(G8*$H$7)/$G$7))</f>
        <v>7.7333333333333334</v>
      </c>
      <c r="I8" s="3">
        <f>IF(G8="-","-",IF(G8=0,0,IF($G$19=0,50,(50+(10*(STANDARDIZE(G8,$G$18,$G$19)))))*$I$7))</f>
        <v>50</v>
      </c>
      <c r="J8" s="69">
        <v>44</v>
      </c>
      <c r="K8" s="8">
        <f>IF(J8="-","-",IF(J8=0,0,(J8*$K$7)/$J$7))</f>
        <v>8.8000000000000007</v>
      </c>
      <c r="L8" s="3">
        <f>IF(J8="-","-",IF(J8=0,0,IF(J19=0,50,(50+(10*(STANDARDIZE(J8,$J$18,$J$19)))))*$L$7))</f>
        <v>47.01857603000029</v>
      </c>
      <c r="M8" s="69">
        <v>26</v>
      </c>
      <c r="N8" s="8">
        <f>IF(M8="-","-",IF(M8=0,0,(M8*$N$7)/$M$7))</f>
        <v>4.333333333333333</v>
      </c>
      <c r="O8" s="3">
        <f>IF(M8="-","-",IF(M8=0,0,IF($M$19=0,50,(50+(10*(STANDARDIZE(M8,$M$18,$M$19)))))*$O$7))</f>
        <v>15</v>
      </c>
      <c r="P8" s="69">
        <v>78</v>
      </c>
      <c r="Q8" s="8">
        <f>IF(P8="-","-",IF(P8=0,0,(P8*$Q$7)/$P$7))</f>
        <v>8.6666666666666661</v>
      </c>
      <c r="R8" s="3">
        <f>IF(P8="-","-",IF(P8=0,0,IF($P$19=0,50,(50+(10*(STANDARDIZE(P8,$P$18,$P$19)))))*$R$7))</f>
        <v>50</v>
      </c>
      <c r="S8">
        <v>10</v>
      </c>
      <c r="T8" s="8">
        <f>IF(S8="-","-",IF(S8=0,0,(S8*$T$7)/$S$7))</f>
        <v>2.5</v>
      </c>
      <c r="U8" s="3">
        <f>IF(S8="-","-",IF(S8=0,0,IF($S$19=0,50,(50+(10*(STANDARDIZE(S8,$S$18,$S$19)))))*$U$7))</f>
        <v>38.394822936286808</v>
      </c>
    </row>
    <row r="9" spans="1:21" ht="27" x14ac:dyDescent="0.45">
      <c r="A9" s="95">
        <v>2</v>
      </c>
      <c r="B9" s="305">
        <v>651201194</v>
      </c>
      <c r="C9" s="305" t="s">
        <v>309</v>
      </c>
      <c r="D9" s="69">
        <v>146</v>
      </c>
      <c r="E9" s="8">
        <f t="shared" ref="E9:E17" si="0">IF(D9="-","-",IF(D9=0,0,(D9*$E$7)/$D$7))</f>
        <v>50.057142857142857</v>
      </c>
      <c r="F9" s="3">
        <f t="shared" ref="F9:F16" si="1">IF(D9="-","-",IF(D9=0,0,IF($D$19=0,50,(50+(10*(STANDARDIZE(D9,$D$18,$D$19)))))*$F$7))</f>
        <v>278.61910064700612</v>
      </c>
      <c r="G9" s="69">
        <v>58</v>
      </c>
      <c r="H9" s="8">
        <f t="shared" ref="H9:H17" si="2">IF(G9="-","-",IF(G9=0,0,(G9*$H$7)/$G$7))</f>
        <v>7.7333333333333334</v>
      </c>
      <c r="I9" s="3">
        <f t="shared" ref="I9:I17" si="3">IF(G9="-","-",IF(G9=0,0,IF($G$19=0,50,(50+(10*(STANDARDIZE(G9,$G$18,$G$19)))))*$I$7))</f>
        <v>50</v>
      </c>
      <c r="J9" s="69">
        <v>46</v>
      </c>
      <c r="K9" s="8">
        <f t="shared" ref="K9:K17" si="4">IF(J9="-","-",IF(J9=0,0,(J9*$K$7)/$J$7))</f>
        <v>9.1999999999999993</v>
      </c>
      <c r="L9" s="3">
        <f t="shared" ref="L9:L17" si="5">IF(J9="-","-",IF(J9=0,0,IF(J20=0,50,(50+(10*(STANDARDIZE(J9,$J$18,$J$19)))))*$L$7))</f>
        <v>50</v>
      </c>
      <c r="M9" s="69">
        <v>30</v>
      </c>
      <c r="N9" s="8">
        <f t="shared" ref="N9:N17" si="6">IF(M9="-","-",IF(M9=0,0,(M9*$N$7)/$M$7))</f>
        <v>5</v>
      </c>
      <c r="O9" s="3">
        <f t="shared" ref="O9:O17" si="7">IF(M9="-","-",IF(M9=0,0,IF($M$19=0,50,(50+(10*(STANDARDIZE(M9,$M$18,$M$19)))))*$O$7))</f>
        <v>35</v>
      </c>
      <c r="P9" s="69">
        <v>78</v>
      </c>
      <c r="Q9" s="8">
        <f t="shared" ref="Q9:Q17" si="8">IF(P9="-","-",IF(P9=0,0,(P9*$Q$7)/$P$7))</f>
        <v>8.6666666666666661</v>
      </c>
      <c r="R9" s="3">
        <f t="shared" ref="R9:R17" si="9">IF(P9="-","-",IF(P9=0,0,IF($P$19=0,50,(50+(10*(STANDARDIZE(P9,$P$18,$P$19)))))*$R$7))</f>
        <v>50</v>
      </c>
      <c r="S9">
        <v>13</v>
      </c>
      <c r="T9" s="8">
        <f t="shared" ref="T9:T17" si="10">IF(S9="-","-",IF(S9=0,0,(S9*$T$7)/$S$7))</f>
        <v>3.25</v>
      </c>
      <c r="U9" s="3">
        <f t="shared" ref="U9:U17" si="11">IF(S9="-","-",IF(S9=0,0,IF($S$19=0,50,(50+(10*(STANDARDIZE(S9,$S$18,$S$19)))))*$U$7))</f>
        <v>48.839482293628677</v>
      </c>
    </row>
    <row r="10" spans="1:21" ht="27" x14ac:dyDescent="0.45">
      <c r="A10" s="95">
        <v>3</v>
      </c>
      <c r="B10" s="305">
        <v>651201195</v>
      </c>
      <c r="C10" s="305" t="s">
        <v>310</v>
      </c>
      <c r="D10" s="69">
        <v>140</v>
      </c>
      <c r="E10" s="8">
        <f t="shared" si="0"/>
        <v>48</v>
      </c>
      <c r="F10" s="3">
        <f t="shared" si="1"/>
        <v>230.51207710276975</v>
      </c>
      <c r="G10" s="69">
        <v>52</v>
      </c>
      <c r="H10" s="8">
        <f t="shared" si="2"/>
        <v>6.9333333333333336</v>
      </c>
      <c r="I10" s="3">
        <f t="shared" si="3"/>
        <v>37.207957018663372</v>
      </c>
      <c r="J10" s="69">
        <v>42</v>
      </c>
      <c r="K10" s="8">
        <f t="shared" si="4"/>
        <v>8.4</v>
      </c>
      <c r="L10" s="3">
        <f t="shared" si="5"/>
        <v>50</v>
      </c>
      <c r="M10" s="69">
        <v>28</v>
      </c>
      <c r="N10" s="8">
        <f t="shared" si="6"/>
        <v>4.666666666666667</v>
      </c>
      <c r="O10" s="3">
        <f t="shared" si="7"/>
        <v>25</v>
      </c>
      <c r="P10" s="69">
        <v>78</v>
      </c>
      <c r="Q10" s="8">
        <f t="shared" si="8"/>
        <v>8.6666666666666661</v>
      </c>
      <c r="R10" s="3">
        <f t="shared" si="9"/>
        <v>50</v>
      </c>
      <c r="S10">
        <v>15</v>
      </c>
      <c r="T10" s="8">
        <f t="shared" si="10"/>
        <v>3.75</v>
      </c>
      <c r="U10" s="3">
        <f t="shared" si="11"/>
        <v>55.802588531856593</v>
      </c>
    </row>
    <row r="11" spans="1:21" ht="27" x14ac:dyDescent="0.45">
      <c r="A11" s="95">
        <v>4</v>
      </c>
      <c r="B11" s="305">
        <v>651201196</v>
      </c>
      <c r="C11" s="305" t="s">
        <v>311</v>
      </c>
      <c r="D11" s="69">
        <v>138</v>
      </c>
      <c r="E11" s="8">
        <f t="shared" si="0"/>
        <v>47.314285714285717</v>
      </c>
      <c r="F11" s="3">
        <f t="shared" si="1"/>
        <v>214.47640258802429</v>
      </c>
      <c r="G11" s="69">
        <v>58</v>
      </c>
      <c r="H11" s="8">
        <f t="shared" si="2"/>
        <v>7.7333333333333334</v>
      </c>
      <c r="I11" s="3">
        <f t="shared" si="3"/>
        <v>50</v>
      </c>
      <c r="J11" s="69">
        <v>42</v>
      </c>
      <c r="K11" s="8">
        <f t="shared" si="4"/>
        <v>8.4</v>
      </c>
      <c r="L11" s="3">
        <f t="shared" si="5"/>
        <v>38.074304120001131</v>
      </c>
      <c r="M11" s="69">
        <v>28</v>
      </c>
      <c r="N11" s="8">
        <f t="shared" si="6"/>
        <v>4.666666666666667</v>
      </c>
      <c r="O11" s="3">
        <f t="shared" si="7"/>
        <v>25</v>
      </c>
      <c r="P11" s="69">
        <v>78</v>
      </c>
      <c r="Q11" s="8">
        <f t="shared" si="8"/>
        <v>8.6666666666666661</v>
      </c>
      <c r="R11" s="3">
        <f t="shared" si="9"/>
        <v>50</v>
      </c>
      <c r="S11">
        <v>8</v>
      </c>
      <c r="T11" s="8">
        <f t="shared" si="10"/>
        <v>2</v>
      </c>
      <c r="U11" s="3">
        <f t="shared" si="11"/>
        <v>31.431716698058896</v>
      </c>
    </row>
    <row r="12" spans="1:21" ht="27" x14ac:dyDescent="0.45">
      <c r="A12" s="95">
        <v>5</v>
      </c>
      <c r="B12" s="305">
        <v>651201197</v>
      </c>
      <c r="C12" s="305" t="s">
        <v>312</v>
      </c>
      <c r="D12" s="69">
        <v>146</v>
      </c>
      <c r="E12" s="8">
        <f t="shared" si="0"/>
        <v>50.057142857142857</v>
      </c>
      <c r="F12" s="3">
        <f t="shared" si="1"/>
        <v>278.61910064700612</v>
      </c>
      <c r="G12" s="69">
        <v>60</v>
      </c>
      <c r="H12" s="8">
        <f t="shared" si="2"/>
        <v>8</v>
      </c>
      <c r="I12" s="3">
        <f t="shared" si="3"/>
        <v>54.264014327112207</v>
      </c>
      <c r="J12" s="69">
        <v>44</v>
      </c>
      <c r="K12" s="8">
        <f t="shared" si="4"/>
        <v>8.8000000000000007</v>
      </c>
      <c r="L12" s="3">
        <f t="shared" si="5"/>
        <v>50</v>
      </c>
      <c r="M12" s="69">
        <v>28</v>
      </c>
      <c r="N12" s="8">
        <f t="shared" si="6"/>
        <v>4.666666666666667</v>
      </c>
      <c r="O12" s="3">
        <f t="shared" si="7"/>
        <v>25</v>
      </c>
      <c r="P12" s="69">
        <v>78</v>
      </c>
      <c r="Q12" s="8">
        <f t="shared" si="8"/>
        <v>8.6666666666666661</v>
      </c>
      <c r="R12" s="3">
        <f t="shared" si="9"/>
        <v>50</v>
      </c>
      <c r="S12">
        <v>13</v>
      </c>
      <c r="T12" s="8">
        <f t="shared" si="10"/>
        <v>3.25</v>
      </c>
      <c r="U12" s="3">
        <f t="shared" si="11"/>
        <v>48.839482293628677</v>
      </c>
    </row>
    <row r="13" spans="1:21" ht="27" x14ac:dyDescent="0.45">
      <c r="A13" s="95">
        <v>6</v>
      </c>
      <c r="B13" s="305">
        <v>651201198</v>
      </c>
      <c r="C13" s="305" t="s">
        <v>313</v>
      </c>
      <c r="D13" s="69">
        <v>160</v>
      </c>
      <c r="E13" s="8">
        <f t="shared" si="0"/>
        <v>54.857142857142854</v>
      </c>
      <c r="F13" s="3">
        <f t="shared" si="1"/>
        <v>390.86882225022441</v>
      </c>
      <c r="G13" s="69">
        <v>60</v>
      </c>
      <c r="H13" s="8">
        <f t="shared" si="2"/>
        <v>8</v>
      </c>
      <c r="I13" s="3">
        <f t="shared" si="3"/>
        <v>54.264014327112207</v>
      </c>
      <c r="J13" s="69">
        <v>48</v>
      </c>
      <c r="K13" s="8">
        <f t="shared" si="4"/>
        <v>9.6</v>
      </c>
      <c r="L13" s="3">
        <f t="shared" si="5"/>
        <v>50</v>
      </c>
      <c r="M13" s="69">
        <v>28</v>
      </c>
      <c r="N13" s="8">
        <f t="shared" si="6"/>
        <v>4.666666666666667</v>
      </c>
      <c r="O13" s="3">
        <f t="shared" si="7"/>
        <v>25</v>
      </c>
      <c r="P13" s="69">
        <v>78</v>
      </c>
      <c r="Q13" s="8">
        <f t="shared" si="8"/>
        <v>8.6666666666666661</v>
      </c>
      <c r="R13" s="3">
        <f t="shared" si="9"/>
        <v>50</v>
      </c>
      <c r="S13">
        <v>16</v>
      </c>
      <c r="T13" s="8">
        <f t="shared" si="10"/>
        <v>4</v>
      </c>
      <c r="U13" s="3">
        <f t="shared" si="11"/>
        <v>59.284141650970554</v>
      </c>
    </row>
    <row r="14" spans="1:21" ht="27" x14ac:dyDescent="0.45">
      <c r="A14" s="95">
        <v>7</v>
      </c>
      <c r="B14" s="305">
        <v>651201199</v>
      </c>
      <c r="C14" s="305" t="s">
        <v>314</v>
      </c>
      <c r="D14" s="69">
        <v>152</v>
      </c>
      <c r="E14" s="8">
        <f t="shared" si="0"/>
        <v>52.114285714285714</v>
      </c>
      <c r="F14" s="3">
        <f t="shared" si="1"/>
        <v>326.72612419124249</v>
      </c>
      <c r="G14" s="69">
        <v>54</v>
      </c>
      <c r="H14" s="8">
        <f t="shared" si="2"/>
        <v>7.2</v>
      </c>
      <c r="I14" s="3">
        <f t="shared" si="3"/>
        <v>41.471971345775586</v>
      </c>
      <c r="J14" s="69">
        <v>44</v>
      </c>
      <c r="K14" s="8">
        <f t="shared" si="4"/>
        <v>8.8000000000000007</v>
      </c>
      <c r="L14" s="3">
        <f t="shared" si="5"/>
        <v>50</v>
      </c>
      <c r="M14" s="69">
        <v>28</v>
      </c>
      <c r="N14" s="8">
        <f t="shared" si="6"/>
        <v>4.666666666666667</v>
      </c>
      <c r="O14" s="3">
        <f t="shared" si="7"/>
        <v>25</v>
      </c>
      <c r="P14" s="69">
        <v>78</v>
      </c>
      <c r="Q14" s="8">
        <f t="shared" si="8"/>
        <v>8.6666666666666661</v>
      </c>
      <c r="R14" s="3">
        <f t="shared" si="9"/>
        <v>50</v>
      </c>
      <c r="S14">
        <v>13</v>
      </c>
      <c r="T14" s="8">
        <f t="shared" si="10"/>
        <v>3.25</v>
      </c>
      <c r="U14" s="3">
        <f t="shared" si="11"/>
        <v>48.839482293628677</v>
      </c>
    </row>
    <row r="15" spans="1:21" ht="27" x14ac:dyDescent="0.45">
      <c r="A15" s="95">
        <v>8</v>
      </c>
      <c r="B15" s="305">
        <v>651201200</v>
      </c>
      <c r="C15" s="305" t="s">
        <v>315</v>
      </c>
      <c r="D15" s="69">
        <v>158</v>
      </c>
      <c r="E15" s="8">
        <f t="shared" si="0"/>
        <v>54.171428571428571</v>
      </c>
      <c r="F15" s="3">
        <f t="shared" si="1"/>
        <v>374.83314773547886</v>
      </c>
      <c r="G15" s="69">
        <v>54</v>
      </c>
      <c r="H15" s="8">
        <f t="shared" si="2"/>
        <v>7.2</v>
      </c>
      <c r="I15" s="3">
        <f t="shared" si="3"/>
        <v>41.471971345775586</v>
      </c>
      <c r="J15" s="69">
        <v>44</v>
      </c>
      <c r="K15" s="8">
        <f t="shared" si="4"/>
        <v>8.8000000000000007</v>
      </c>
      <c r="L15" s="3">
        <f t="shared" si="5"/>
        <v>50</v>
      </c>
      <c r="M15" s="69">
        <v>28</v>
      </c>
      <c r="N15" s="8">
        <f t="shared" si="6"/>
        <v>4.666666666666667</v>
      </c>
      <c r="O15" s="3">
        <f t="shared" si="7"/>
        <v>25</v>
      </c>
      <c r="P15" s="69">
        <v>78</v>
      </c>
      <c r="Q15" s="8">
        <f t="shared" si="8"/>
        <v>8.6666666666666661</v>
      </c>
      <c r="R15" s="3">
        <f t="shared" si="9"/>
        <v>50</v>
      </c>
      <c r="S15">
        <v>15</v>
      </c>
      <c r="T15" s="8">
        <f t="shared" si="10"/>
        <v>3.75</v>
      </c>
      <c r="U15" s="3">
        <f t="shared" si="11"/>
        <v>55.802588531856593</v>
      </c>
    </row>
    <row r="16" spans="1:21" ht="27" x14ac:dyDescent="0.45">
      <c r="A16" s="95">
        <v>9</v>
      </c>
      <c r="B16" s="305">
        <v>651201201</v>
      </c>
      <c r="C16" s="305" t="s">
        <v>316</v>
      </c>
      <c r="D16" s="69">
        <v>152</v>
      </c>
      <c r="E16" s="8">
        <f t="shared" si="0"/>
        <v>52.114285714285714</v>
      </c>
      <c r="F16" s="3">
        <f t="shared" si="1"/>
        <v>326.72612419124249</v>
      </c>
      <c r="G16" s="69">
        <v>68</v>
      </c>
      <c r="H16" s="8">
        <f t="shared" si="2"/>
        <v>9.0666666666666664</v>
      </c>
      <c r="I16" s="3">
        <f t="shared" si="3"/>
        <v>71.32007163556105</v>
      </c>
      <c r="J16" s="69">
        <v>48</v>
      </c>
      <c r="K16" s="8">
        <f t="shared" si="4"/>
        <v>9.6</v>
      </c>
      <c r="L16" s="3">
        <f t="shared" si="5"/>
        <v>50</v>
      </c>
      <c r="M16" s="69">
        <v>28</v>
      </c>
      <c r="N16" s="8">
        <f t="shared" si="6"/>
        <v>4.666666666666667</v>
      </c>
      <c r="O16" s="3">
        <f t="shared" si="7"/>
        <v>25</v>
      </c>
      <c r="P16" s="69">
        <v>78</v>
      </c>
      <c r="Q16" s="8">
        <f t="shared" si="8"/>
        <v>8.6666666666666661</v>
      </c>
      <c r="R16" s="3">
        <f t="shared" si="9"/>
        <v>50</v>
      </c>
      <c r="S16">
        <v>17</v>
      </c>
      <c r="T16" s="8">
        <f t="shared" si="10"/>
        <v>4.25</v>
      </c>
      <c r="U16" s="3">
        <f t="shared" si="11"/>
        <v>62.765694770084508</v>
      </c>
    </row>
    <row r="17" spans="1:21" ht="21" x14ac:dyDescent="0.35">
      <c r="A17" s="95">
        <v>10</v>
      </c>
      <c r="B17" s="96"/>
      <c r="C17" s="97"/>
      <c r="D17" s="98"/>
      <c r="E17" s="8">
        <f t="shared" si="0"/>
        <v>0</v>
      </c>
      <c r="F17" s="3">
        <f>IF(D17="-","-",IF(D17=0,0,IF($D$19=0,50,(50+(10*(STANDARDIZE(D17,$D$18,$D$19)))))*$F$7))</f>
        <v>0</v>
      </c>
      <c r="G17" s="98"/>
      <c r="H17" s="8">
        <f t="shared" si="2"/>
        <v>0</v>
      </c>
      <c r="I17" s="3">
        <f t="shared" si="3"/>
        <v>0</v>
      </c>
      <c r="J17" s="98"/>
      <c r="K17" s="8">
        <f t="shared" si="4"/>
        <v>0</v>
      </c>
      <c r="L17" s="3">
        <f t="shared" si="5"/>
        <v>0</v>
      </c>
      <c r="M17" s="98"/>
      <c r="N17" s="8">
        <f t="shared" si="6"/>
        <v>0</v>
      </c>
      <c r="O17" s="3">
        <f t="shared" si="7"/>
        <v>0</v>
      </c>
      <c r="P17" s="98"/>
      <c r="Q17" s="8">
        <f t="shared" si="8"/>
        <v>0</v>
      </c>
      <c r="R17" s="3">
        <f t="shared" si="9"/>
        <v>0</v>
      </c>
      <c r="S17" s="98"/>
      <c r="T17" s="8">
        <f t="shared" si="10"/>
        <v>0</v>
      </c>
      <c r="U17" s="3">
        <f t="shared" si="11"/>
        <v>0</v>
      </c>
    </row>
    <row r="18" spans="1:21" ht="21" x14ac:dyDescent="0.35">
      <c r="A18" s="2"/>
      <c r="B18" s="2"/>
      <c r="C18" s="42" t="s">
        <v>13</v>
      </c>
      <c r="D18" s="9">
        <f>AVERAGE($D$8:$D$17)</f>
        <v>148.66666666666666</v>
      </c>
      <c r="E18" s="2"/>
      <c r="F18" s="2"/>
      <c r="G18" s="9">
        <f>AVERAGE($G$8:$G$17)</f>
        <v>58</v>
      </c>
      <c r="H18" s="1"/>
      <c r="I18" s="1"/>
      <c r="J18" s="9">
        <f>AVERAGE($J$8:$J$17)</f>
        <v>44.666666666666664</v>
      </c>
      <c r="K18" s="1"/>
      <c r="L18" s="1"/>
      <c r="M18" s="9">
        <f>AVERAGE($M$8:$M$17)</f>
        <v>28</v>
      </c>
      <c r="N18" s="1"/>
      <c r="O18" s="1"/>
      <c r="P18" s="9">
        <f>AVERAGE($P$8:$P$17)</f>
        <v>78</v>
      </c>
      <c r="Q18" s="1"/>
      <c r="R18" s="1"/>
      <c r="S18" s="9">
        <f>AVERAGE($S$8:$S$17)</f>
        <v>13.333333333333334</v>
      </c>
      <c r="T18" s="1"/>
      <c r="U18" s="1"/>
    </row>
    <row r="19" spans="1:21" ht="21" x14ac:dyDescent="0.35">
      <c r="A19" s="2"/>
      <c r="B19" s="2"/>
      <c r="C19" s="42" t="s">
        <v>14</v>
      </c>
      <c r="D19" s="9">
        <f>STDEV($D$8:$D$17)</f>
        <v>7.4833147735478827</v>
      </c>
      <c r="E19" s="2"/>
      <c r="F19" s="2"/>
      <c r="G19" s="9">
        <f>STDEV($G$8:$G$17)</f>
        <v>4.6904157598234297</v>
      </c>
      <c r="H19" s="1"/>
      <c r="I19" s="1"/>
      <c r="J19" s="9">
        <f>STDEV($J$8:$J$17)</f>
        <v>2.2360679774997898</v>
      </c>
      <c r="K19" s="1"/>
      <c r="L19" s="1"/>
      <c r="M19" s="9">
        <f>STDEV($M$8:$M$17)</f>
        <v>1</v>
      </c>
      <c r="N19" s="1"/>
      <c r="O19" s="1"/>
      <c r="P19" s="9">
        <f>STDEV($P$8:$P$17)</f>
        <v>0</v>
      </c>
      <c r="Q19" s="1"/>
      <c r="R19" s="1"/>
      <c r="S19" s="9">
        <f>STDEV(S8:S17)</f>
        <v>2.8722813232690143</v>
      </c>
      <c r="T19" s="1"/>
      <c r="U19" s="1"/>
    </row>
    <row r="20" spans="1:21" ht="21" x14ac:dyDescent="0.2">
      <c r="A20" s="2"/>
      <c r="B20" s="2"/>
      <c r="C20" s="42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21" x14ac:dyDescent="0.2">
      <c r="A21" s="204"/>
      <c r="B21" s="204" t="s">
        <v>12</v>
      </c>
      <c r="C21" s="204" t="s">
        <v>0</v>
      </c>
      <c r="D21" s="207"/>
      <c r="E21" s="207"/>
      <c r="F21" s="207"/>
      <c r="G21" s="207"/>
      <c r="H21" s="207"/>
      <c r="I21" s="207"/>
      <c r="J21" s="248"/>
      <c r="K21" s="248"/>
      <c r="L21" s="248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21" x14ac:dyDescent="0.2">
      <c r="A22" s="204"/>
      <c r="B22" s="204"/>
      <c r="C22" s="204"/>
      <c r="D22" s="44" t="s">
        <v>17</v>
      </c>
      <c r="E22" s="44" t="s">
        <v>6</v>
      </c>
      <c r="F22" s="44" t="s">
        <v>3</v>
      </c>
      <c r="G22" s="44" t="s">
        <v>17</v>
      </c>
      <c r="H22" s="44" t="s">
        <v>6</v>
      </c>
      <c r="I22" s="44" t="s">
        <v>3</v>
      </c>
      <c r="J22" s="44" t="s">
        <v>17</v>
      </c>
      <c r="K22" s="44" t="s">
        <v>6</v>
      </c>
      <c r="L22" s="44" t="s">
        <v>3</v>
      </c>
      <c r="M22" s="44" t="s">
        <v>17</v>
      </c>
      <c r="N22" s="44" t="s">
        <v>6</v>
      </c>
      <c r="O22" s="44" t="s">
        <v>3</v>
      </c>
      <c r="P22" s="44" t="s">
        <v>17</v>
      </c>
      <c r="Q22" s="44" t="s">
        <v>6</v>
      </c>
      <c r="R22" s="44" t="s">
        <v>3</v>
      </c>
      <c r="S22" s="44" t="s">
        <v>17</v>
      </c>
      <c r="T22" s="44" t="s">
        <v>6</v>
      </c>
      <c r="U22" s="44" t="s">
        <v>3</v>
      </c>
    </row>
    <row r="23" spans="1:21" ht="21" x14ac:dyDescent="0.35">
      <c r="A23" s="204"/>
      <c r="B23" s="204"/>
      <c r="C23" s="204"/>
      <c r="D23" s="14"/>
      <c r="E23" s="14"/>
      <c r="F23" s="74">
        <f>$E$23/10</f>
        <v>0</v>
      </c>
      <c r="G23" s="14"/>
      <c r="H23" s="14"/>
      <c r="I23" s="74">
        <f>$H$23/10</f>
        <v>0</v>
      </c>
      <c r="J23" s="14"/>
      <c r="K23" s="14"/>
      <c r="L23" s="74">
        <f>$K$23/10</f>
        <v>0</v>
      </c>
      <c r="M23" s="14"/>
      <c r="N23" s="14"/>
      <c r="O23" s="35">
        <f>$N$23/10</f>
        <v>0</v>
      </c>
      <c r="P23" s="14"/>
      <c r="Q23" s="14"/>
      <c r="R23" s="76">
        <f>$Q$23/10</f>
        <v>0</v>
      </c>
      <c r="S23" s="14"/>
      <c r="T23" s="14"/>
      <c r="U23" s="76">
        <f>$T$23/10</f>
        <v>0</v>
      </c>
    </row>
    <row r="24" spans="1:21" ht="22" x14ac:dyDescent="0.35">
      <c r="A24" s="6">
        <v>1</v>
      </c>
      <c r="B24" s="38">
        <f>B8</f>
        <v>651201193</v>
      </c>
      <c r="C24" s="39" t="str">
        <f>C8</f>
        <v>นางสาวอรทัย ศรีมันตะ</v>
      </c>
      <c r="D24" s="12"/>
      <c r="E24" s="8"/>
      <c r="F24" s="3">
        <f>IF(D24="-","-",IF(D24=0,0,IF($D$35=0,50,(50+(10*(STANDARDIZE(D24,$D$34,$D$35)))))*$F$23))</f>
        <v>0</v>
      </c>
      <c r="G24" s="12"/>
      <c r="H24" s="8"/>
      <c r="I24" s="3">
        <f>IF(G24="-","-",IF(G24=0,0,IF($G$35=0,50,(50+(10*(STANDARDIZE(G24,$G$34,$G$35)))))*$I$23))</f>
        <v>0</v>
      </c>
      <c r="J24" s="12"/>
      <c r="K24" s="8"/>
      <c r="L24" s="3">
        <f>IF(J24="-","-",IF(J24=0,0,IF($J$35=0,50,(50+(10*(STANDARDIZE(J24,$J$34,$J$35)))))*$L$23))</f>
        <v>0</v>
      </c>
      <c r="M24" s="12"/>
      <c r="N24" s="8">
        <f>IF(M24="-","-",IF(M24=0,0,(M24*$N$23)/$M$23))</f>
        <v>0</v>
      </c>
      <c r="O24" s="3">
        <f>IF(M24="-","-",IF(M24=0,0,IF($M$35=0,50,(50+(10*(STANDARDIZE(M24,$M$34,$M$35)))))*$O$23))</f>
        <v>0</v>
      </c>
      <c r="P24" s="12"/>
      <c r="Q24" s="8">
        <f>IF(P24="-","-",IF(P24=0,0,(P24*$Q$23)/$P$23))</f>
        <v>0</v>
      </c>
      <c r="R24" s="3">
        <f>IF(P24="-","-",IF(P24=0,0,IF($P$35=0,50,(50+(10*(STANDARDIZE(P24,$P$34,$P$35)))))*$R$23))</f>
        <v>0</v>
      </c>
      <c r="S24" s="12"/>
      <c r="T24" s="8">
        <f>IF(S24="-","-",IF(S24=0,0,(S24*$T$23)/$S$23))</f>
        <v>0</v>
      </c>
      <c r="U24" s="3">
        <f>IF(S24="-","-",IF(S24=0,0,IF($S$35=0,50,(50+(10*(STANDARDIZE(S24,$S$34,$S$35)))))*$U$23))</f>
        <v>0</v>
      </c>
    </row>
    <row r="25" spans="1:21" ht="22" x14ac:dyDescent="0.35">
      <c r="A25" s="6">
        <v>2</v>
      </c>
      <c r="B25" s="38">
        <f t="shared" ref="B25:C33" si="12">B9</f>
        <v>651201194</v>
      </c>
      <c r="C25" s="39" t="str">
        <f t="shared" si="12"/>
        <v>นางสาวอริสา จนั ชาดา</v>
      </c>
      <c r="D25" s="12"/>
      <c r="E25" s="8"/>
      <c r="F25" s="3">
        <f t="shared" ref="F25:F33" si="13">IF(D25="-","-",IF(D25=0,0,IF($D$35=0,50,(50+(10*(STANDARDIZE(D25,$D$34,$D$35)))))*$F$23))</f>
        <v>0</v>
      </c>
      <c r="G25" s="12"/>
      <c r="H25" s="8"/>
      <c r="I25" s="3">
        <f t="shared" ref="I25:I33" si="14">IF(G25="-","-",IF(G25=0,0,IF($G$35=0,50,(50+(10*(STANDARDIZE(G25,$G$34,$G$35)))))*$I$23))</f>
        <v>0</v>
      </c>
      <c r="J25" s="12"/>
      <c r="K25" s="8"/>
      <c r="L25" s="3">
        <f t="shared" ref="L25:L33" si="15">IF(J25="-","-",IF(J25=0,0,IF($J$35=0,50,(50+(10*(STANDARDIZE(J25,$J$34,$J$35)))))*$L$23))</f>
        <v>0</v>
      </c>
      <c r="M25" s="12"/>
      <c r="N25" s="8">
        <f t="shared" ref="N25:N33" si="16">IF(M25="-","-",IF(M25=0,0,(M25*$N$23)/$M$23))</f>
        <v>0</v>
      </c>
      <c r="O25" s="3">
        <f t="shared" ref="O25:O33" si="17">IF(M25="-","-",IF(M25=0,0,IF($M$35=0,50,(50+(10*(STANDARDIZE(M25,$M$34,$M$35)))))*$O$23))</f>
        <v>0</v>
      </c>
      <c r="P25" s="12"/>
      <c r="Q25" s="8">
        <f t="shared" ref="Q25:Q33" si="18">IF(P25="-","-",IF(P25=0,0,(P25*$Q$23)/$P$23))</f>
        <v>0</v>
      </c>
      <c r="R25" s="3">
        <f t="shared" ref="R25:R33" si="19">IF(P25="-","-",IF(P25=0,0,IF($P$35=0,50,(50+(10*(STANDARDIZE(P25,$P$34,$P$35)))))*$R$23))</f>
        <v>0</v>
      </c>
      <c r="S25" s="12"/>
      <c r="T25" s="8">
        <f t="shared" ref="T25:T33" si="20">IF(S25="-","-",IF(S25=0,0,(S25*$T$23)/$S$23))</f>
        <v>0</v>
      </c>
      <c r="U25" s="3">
        <f t="shared" ref="U25:U33" si="21">IF(S25="-","-",IF(S25=0,0,IF($S$35=0,50,(50+(10*(STANDARDIZE(S25,$S$34,$S$35)))))*$U$23))</f>
        <v>0</v>
      </c>
    </row>
    <row r="26" spans="1:21" ht="22" x14ac:dyDescent="0.35">
      <c r="A26" s="6">
        <v>3</v>
      </c>
      <c r="B26" s="38">
        <f t="shared" si="12"/>
        <v>651201195</v>
      </c>
      <c r="C26" s="39" t="str">
        <f t="shared" si="12"/>
        <v>นางสาวอริสา ดำรงเชื้อ</v>
      </c>
      <c r="D26" s="12"/>
      <c r="E26" s="8"/>
      <c r="F26" s="3">
        <f t="shared" si="13"/>
        <v>0</v>
      </c>
      <c r="G26" s="12"/>
      <c r="H26" s="8"/>
      <c r="I26" s="3">
        <f t="shared" si="14"/>
        <v>0</v>
      </c>
      <c r="J26" s="12"/>
      <c r="K26" s="8"/>
      <c r="L26" s="3">
        <f t="shared" si="15"/>
        <v>0</v>
      </c>
      <c r="M26" s="12"/>
      <c r="N26" s="8">
        <f t="shared" si="16"/>
        <v>0</v>
      </c>
      <c r="O26" s="3">
        <f t="shared" si="17"/>
        <v>0</v>
      </c>
      <c r="P26" s="12"/>
      <c r="Q26" s="8">
        <f t="shared" si="18"/>
        <v>0</v>
      </c>
      <c r="R26" s="3">
        <f t="shared" si="19"/>
        <v>0</v>
      </c>
      <c r="S26" s="12"/>
      <c r="T26" s="8">
        <f t="shared" si="20"/>
        <v>0</v>
      </c>
      <c r="U26" s="3">
        <f t="shared" si="21"/>
        <v>0</v>
      </c>
    </row>
    <row r="27" spans="1:21" ht="22" x14ac:dyDescent="0.35">
      <c r="A27" s="6">
        <v>4</v>
      </c>
      <c r="B27" s="38">
        <f t="shared" si="12"/>
        <v>651201196</v>
      </c>
      <c r="C27" s="39" t="str">
        <f t="shared" si="12"/>
        <v>นายอัครพนธ์ เจนชัย</v>
      </c>
      <c r="D27" s="12"/>
      <c r="E27" s="8"/>
      <c r="F27" s="3">
        <f t="shared" si="13"/>
        <v>0</v>
      </c>
      <c r="G27" s="12"/>
      <c r="H27" s="8"/>
      <c r="I27" s="3">
        <f t="shared" si="14"/>
        <v>0</v>
      </c>
      <c r="J27" s="12"/>
      <c r="K27" s="8"/>
      <c r="L27" s="3">
        <f t="shared" si="15"/>
        <v>0</v>
      </c>
      <c r="M27" s="12"/>
      <c r="N27" s="8">
        <f t="shared" si="16"/>
        <v>0</v>
      </c>
      <c r="O27" s="3">
        <f t="shared" si="17"/>
        <v>0</v>
      </c>
      <c r="P27" s="12"/>
      <c r="Q27" s="8">
        <f t="shared" si="18"/>
        <v>0</v>
      </c>
      <c r="R27" s="3">
        <f t="shared" si="19"/>
        <v>0</v>
      </c>
      <c r="S27" s="12"/>
      <c r="T27" s="8">
        <f t="shared" si="20"/>
        <v>0</v>
      </c>
      <c r="U27" s="3">
        <f t="shared" si="21"/>
        <v>0</v>
      </c>
    </row>
    <row r="28" spans="1:21" ht="22" x14ac:dyDescent="0.35">
      <c r="A28" s="6">
        <v>5</v>
      </c>
      <c r="B28" s="38">
        <f t="shared" si="12"/>
        <v>651201197</v>
      </c>
      <c r="C28" s="39" t="str">
        <f t="shared" si="12"/>
        <v>นางสาวอัญมณี คำโสภา</v>
      </c>
      <c r="D28" s="12"/>
      <c r="E28" s="8"/>
      <c r="F28" s="3">
        <f t="shared" si="13"/>
        <v>0</v>
      </c>
      <c r="G28" s="12"/>
      <c r="H28" s="8"/>
      <c r="I28" s="3">
        <f t="shared" si="14"/>
        <v>0</v>
      </c>
      <c r="J28" s="12"/>
      <c r="K28" s="8"/>
      <c r="L28" s="3">
        <f t="shared" si="15"/>
        <v>0</v>
      </c>
      <c r="M28" s="12"/>
      <c r="N28" s="8">
        <f t="shared" si="16"/>
        <v>0</v>
      </c>
      <c r="O28" s="3">
        <f t="shared" si="17"/>
        <v>0</v>
      </c>
      <c r="P28" s="12"/>
      <c r="Q28" s="8">
        <f t="shared" si="18"/>
        <v>0</v>
      </c>
      <c r="R28" s="3">
        <f t="shared" si="19"/>
        <v>0</v>
      </c>
      <c r="S28" s="12"/>
      <c r="T28" s="8">
        <f t="shared" si="20"/>
        <v>0</v>
      </c>
      <c r="U28" s="3">
        <f t="shared" si="21"/>
        <v>0</v>
      </c>
    </row>
    <row r="29" spans="1:21" ht="22" x14ac:dyDescent="0.35">
      <c r="A29" s="6">
        <v>6</v>
      </c>
      <c r="B29" s="38">
        <f t="shared" si="12"/>
        <v>651201198</v>
      </c>
      <c r="C29" s="39" t="str">
        <f t="shared" si="12"/>
        <v>นางสาวอาทิตยา วิชัยดิษฐ</v>
      </c>
      <c r="D29" s="12"/>
      <c r="E29" s="8"/>
      <c r="F29" s="3">
        <f t="shared" si="13"/>
        <v>0</v>
      </c>
      <c r="G29" s="12"/>
      <c r="H29" s="8"/>
      <c r="I29" s="3">
        <f t="shared" si="14"/>
        <v>0</v>
      </c>
      <c r="J29" s="12"/>
      <c r="K29" s="8"/>
      <c r="L29" s="3">
        <f t="shared" si="15"/>
        <v>0</v>
      </c>
      <c r="M29" s="12"/>
      <c r="N29" s="8">
        <f t="shared" si="16"/>
        <v>0</v>
      </c>
      <c r="O29" s="3">
        <f t="shared" si="17"/>
        <v>0</v>
      </c>
      <c r="P29" s="12"/>
      <c r="Q29" s="8">
        <f t="shared" si="18"/>
        <v>0</v>
      </c>
      <c r="R29" s="3">
        <f t="shared" si="19"/>
        <v>0</v>
      </c>
      <c r="S29" s="12"/>
      <c r="T29" s="8">
        <f t="shared" si="20"/>
        <v>0</v>
      </c>
      <c r="U29" s="3">
        <f t="shared" si="21"/>
        <v>0</v>
      </c>
    </row>
    <row r="30" spans="1:21" ht="22" x14ac:dyDescent="0.35">
      <c r="A30" s="6">
        <v>7</v>
      </c>
      <c r="B30" s="38">
        <f t="shared" si="12"/>
        <v>651201199</v>
      </c>
      <c r="C30" s="39" t="str">
        <f t="shared" si="12"/>
        <v>นางสาวอาทิตยา ใจสูงเนิน</v>
      </c>
      <c r="D30" s="12"/>
      <c r="E30" s="8"/>
      <c r="F30" s="3">
        <f t="shared" si="13"/>
        <v>0</v>
      </c>
      <c r="G30" s="12"/>
      <c r="H30" s="8"/>
      <c r="I30" s="3">
        <f t="shared" si="14"/>
        <v>0</v>
      </c>
      <c r="J30" s="12"/>
      <c r="K30" s="8"/>
      <c r="L30" s="3">
        <f t="shared" si="15"/>
        <v>0</v>
      </c>
      <c r="M30" s="12"/>
      <c r="N30" s="8">
        <f t="shared" si="16"/>
        <v>0</v>
      </c>
      <c r="O30" s="3">
        <f t="shared" si="17"/>
        <v>0</v>
      </c>
      <c r="P30" s="12"/>
      <c r="Q30" s="8">
        <f t="shared" si="18"/>
        <v>0</v>
      </c>
      <c r="R30" s="3">
        <f t="shared" si="19"/>
        <v>0</v>
      </c>
      <c r="S30" s="12"/>
      <c r="T30" s="8">
        <f t="shared" si="20"/>
        <v>0</v>
      </c>
      <c r="U30" s="3">
        <f t="shared" si="21"/>
        <v>0</v>
      </c>
    </row>
    <row r="31" spans="1:21" ht="21" x14ac:dyDescent="0.35">
      <c r="A31" s="6">
        <v>8</v>
      </c>
      <c r="B31" s="38">
        <f t="shared" si="12"/>
        <v>651201200</v>
      </c>
      <c r="C31" s="39" t="str">
        <f t="shared" si="12"/>
        <v>นางสาวอุไรวรรณ กองพอด</v>
      </c>
      <c r="D31" s="12"/>
      <c r="E31" s="8"/>
      <c r="F31" s="3">
        <f t="shared" si="13"/>
        <v>0</v>
      </c>
      <c r="G31" s="12"/>
      <c r="H31" s="8"/>
      <c r="I31" s="3">
        <f t="shared" si="14"/>
        <v>0</v>
      </c>
      <c r="J31" s="12"/>
      <c r="K31" s="8"/>
      <c r="L31" s="3">
        <f t="shared" si="15"/>
        <v>0</v>
      </c>
      <c r="M31" s="12"/>
      <c r="N31" s="8">
        <f t="shared" si="16"/>
        <v>0</v>
      </c>
      <c r="O31" s="3">
        <f t="shared" si="17"/>
        <v>0</v>
      </c>
      <c r="P31" s="12"/>
      <c r="Q31" s="8">
        <f t="shared" si="18"/>
        <v>0</v>
      </c>
      <c r="R31" s="3">
        <f t="shared" si="19"/>
        <v>0</v>
      </c>
      <c r="S31" s="12"/>
      <c r="T31" s="8">
        <f t="shared" si="20"/>
        <v>0</v>
      </c>
      <c r="U31" s="3">
        <f t="shared" si="21"/>
        <v>0</v>
      </c>
    </row>
    <row r="32" spans="1:21" ht="21" x14ac:dyDescent="0.35">
      <c r="A32" s="6">
        <v>9</v>
      </c>
      <c r="B32" s="38">
        <f t="shared" si="12"/>
        <v>651201201</v>
      </c>
      <c r="C32" s="39" t="str">
        <f t="shared" si="12"/>
        <v>นางสาวกรรณิการ์ ประกอบแก้ว</v>
      </c>
      <c r="D32" s="12"/>
      <c r="E32" s="8">
        <f t="shared" ref="E32:E33" si="22">IF(D32="-","-",IF(D32=0,0,(D32*$E$23)/$D$23))</f>
        <v>0</v>
      </c>
      <c r="F32" s="3">
        <f t="shared" si="13"/>
        <v>0</v>
      </c>
      <c r="G32" s="12"/>
      <c r="H32" s="8">
        <f t="shared" ref="H32:H33" si="23">IF(G32="-","-",IF(G32=0,0,(G32*$H$23)/$G$23))</f>
        <v>0</v>
      </c>
      <c r="I32" s="3">
        <f t="shared" si="14"/>
        <v>0</v>
      </c>
      <c r="J32" s="12"/>
      <c r="K32" s="8">
        <f t="shared" ref="K32:K33" si="24">IF(J32="-","-",IF(J32=0,0,(J32*$K$23)/$J$23))</f>
        <v>0</v>
      </c>
      <c r="L32" s="3">
        <f t="shared" si="15"/>
        <v>0</v>
      </c>
      <c r="M32" s="12"/>
      <c r="N32" s="8">
        <f t="shared" si="16"/>
        <v>0</v>
      </c>
      <c r="O32" s="3">
        <f t="shared" si="17"/>
        <v>0</v>
      </c>
      <c r="P32" s="12"/>
      <c r="Q32" s="8">
        <f t="shared" si="18"/>
        <v>0</v>
      </c>
      <c r="R32" s="3">
        <f t="shared" si="19"/>
        <v>0</v>
      </c>
      <c r="S32" s="12"/>
      <c r="T32" s="8">
        <f t="shared" si="20"/>
        <v>0</v>
      </c>
      <c r="U32" s="3">
        <f t="shared" si="21"/>
        <v>0</v>
      </c>
    </row>
    <row r="33" spans="1:21" ht="21" x14ac:dyDescent="0.35">
      <c r="A33" s="6">
        <v>10</v>
      </c>
      <c r="B33" s="38">
        <f t="shared" si="12"/>
        <v>0</v>
      </c>
      <c r="C33" s="39">
        <f t="shared" si="12"/>
        <v>0</v>
      </c>
      <c r="D33" s="12"/>
      <c r="E33" s="8">
        <f t="shared" si="22"/>
        <v>0</v>
      </c>
      <c r="F33" s="3">
        <f t="shared" si="13"/>
        <v>0</v>
      </c>
      <c r="G33" s="12"/>
      <c r="H33" s="8">
        <f t="shared" si="23"/>
        <v>0</v>
      </c>
      <c r="I33" s="3">
        <f t="shared" si="14"/>
        <v>0</v>
      </c>
      <c r="J33" s="12"/>
      <c r="K33" s="8">
        <f t="shared" si="24"/>
        <v>0</v>
      </c>
      <c r="L33" s="3">
        <f t="shared" si="15"/>
        <v>0</v>
      </c>
      <c r="M33" s="12"/>
      <c r="N33" s="8">
        <f t="shared" si="16"/>
        <v>0</v>
      </c>
      <c r="O33" s="3">
        <f t="shared" si="17"/>
        <v>0</v>
      </c>
      <c r="P33" s="12"/>
      <c r="Q33" s="8">
        <f t="shared" si="18"/>
        <v>0</v>
      </c>
      <c r="R33" s="3">
        <f t="shared" si="19"/>
        <v>0</v>
      </c>
      <c r="S33" s="12"/>
      <c r="T33" s="8">
        <f t="shared" si="20"/>
        <v>0</v>
      </c>
      <c r="U33" s="3">
        <f t="shared" si="21"/>
        <v>0</v>
      </c>
    </row>
    <row r="34" spans="1:21" ht="21" x14ac:dyDescent="0.35">
      <c r="A34" s="2"/>
      <c r="B34" s="2"/>
      <c r="C34" s="42" t="s">
        <v>13</v>
      </c>
      <c r="D34" s="9" t="e">
        <f>AVERAGE($D$24:$D$33)</f>
        <v>#DIV/0!</v>
      </c>
      <c r="E34" s="1"/>
      <c r="F34" s="1"/>
      <c r="G34" s="9" t="e">
        <f>AVERAGE($G$24:$G$33)</f>
        <v>#DIV/0!</v>
      </c>
      <c r="H34" s="1"/>
      <c r="I34" s="1"/>
      <c r="J34" s="9" t="e">
        <f>AVERAGE($J$24:$J$33)</f>
        <v>#DIV/0!</v>
      </c>
      <c r="K34" s="1"/>
      <c r="L34" s="1"/>
      <c r="M34" s="9" t="e">
        <f>AVERAGE($M$24:$M$33)</f>
        <v>#DIV/0!</v>
      </c>
      <c r="N34" s="1"/>
      <c r="O34" s="1"/>
      <c r="P34" s="9" t="e">
        <f>AVERAGE($P$24:$P$33)</f>
        <v>#DIV/0!</v>
      </c>
      <c r="Q34" s="1"/>
      <c r="R34" s="1"/>
      <c r="S34" s="72" t="e">
        <f>AVERAGE($S$24:$S$33)</f>
        <v>#DIV/0!</v>
      </c>
      <c r="T34" s="1"/>
      <c r="U34" s="1"/>
    </row>
    <row r="35" spans="1:21" ht="21" x14ac:dyDescent="0.35">
      <c r="A35" s="2"/>
      <c r="B35" s="2"/>
      <c r="C35" s="42" t="s">
        <v>14</v>
      </c>
      <c r="D35" s="9" t="e">
        <f>STDEV($D$24:$D$33)</f>
        <v>#DIV/0!</v>
      </c>
      <c r="E35" s="1"/>
      <c r="F35" s="5"/>
      <c r="G35" s="9" t="e">
        <f>STDEV($G$24:$G$33)</f>
        <v>#DIV/0!</v>
      </c>
      <c r="H35" s="1"/>
      <c r="I35" s="1"/>
      <c r="J35" s="9" t="e">
        <f>STDEV($J$24:$J$33)</f>
        <v>#DIV/0!</v>
      </c>
      <c r="K35" s="1"/>
      <c r="L35" s="5"/>
      <c r="M35" s="9" t="e">
        <f>STDEV($M$24:$M$33)</f>
        <v>#DIV/0!</v>
      </c>
      <c r="N35" s="1"/>
      <c r="O35" s="1"/>
      <c r="P35" s="9" t="e">
        <f>STDEV($P$24:$P$33)</f>
        <v>#DIV/0!</v>
      </c>
      <c r="Q35" s="1"/>
      <c r="R35" s="1"/>
      <c r="S35" s="72" t="e">
        <f>STDEV($S$24:$S$33)</f>
        <v>#DIV/0!</v>
      </c>
      <c r="T35" s="1"/>
      <c r="U35" s="1"/>
    </row>
    <row r="36" spans="1:21" ht="21" x14ac:dyDescent="0.35">
      <c r="A36" s="2"/>
      <c r="B36" s="2"/>
      <c r="C36" s="42"/>
      <c r="D36" s="9"/>
      <c r="E36" s="1"/>
      <c r="F36" s="5"/>
      <c r="G36" s="9" t="s">
        <v>2</v>
      </c>
      <c r="H36" s="1"/>
      <c r="I36" s="1"/>
      <c r="J36" s="9"/>
      <c r="K36" s="1"/>
      <c r="L36" s="5"/>
      <c r="M36" s="9"/>
      <c r="N36" s="1"/>
      <c r="O36" s="1"/>
      <c r="P36" s="1" t="s">
        <v>2</v>
      </c>
      <c r="Q36" s="1"/>
      <c r="R36" s="1"/>
      <c r="S36" s="1"/>
      <c r="T36" s="1"/>
      <c r="U36" s="1"/>
    </row>
    <row r="37" spans="1:21" ht="21" x14ac:dyDescent="0.35">
      <c r="A37" s="2"/>
      <c r="B37" s="2"/>
      <c r="C37" s="2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1"/>
      <c r="T37" s="1"/>
      <c r="U37" s="1"/>
    </row>
    <row r="38" spans="1:21" ht="21" x14ac:dyDescent="0.2">
      <c r="A38" s="204" t="s">
        <v>76</v>
      </c>
      <c r="B38" s="204" t="s">
        <v>12</v>
      </c>
      <c r="C38" s="204" t="s">
        <v>0</v>
      </c>
      <c r="D38" s="207"/>
      <c r="E38" s="207"/>
      <c r="F38" s="207"/>
      <c r="G38" s="207"/>
      <c r="H38" s="207"/>
      <c r="I38" s="207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</row>
    <row r="39" spans="1:21" ht="21" x14ac:dyDescent="0.2">
      <c r="A39" s="204"/>
      <c r="B39" s="204"/>
      <c r="C39" s="204"/>
      <c r="D39" s="44" t="s">
        <v>17</v>
      </c>
      <c r="E39" s="44" t="s">
        <v>6</v>
      </c>
      <c r="F39" s="44" t="s">
        <v>3</v>
      </c>
      <c r="G39" s="44" t="s">
        <v>17</v>
      </c>
      <c r="H39" s="44" t="s">
        <v>6</v>
      </c>
      <c r="I39" s="44" t="s">
        <v>3</v>
      </c>
      <c r="J39" s="44" t="s">
        <v>17</v>
      </c>
      <c r="K39" s="44" t="s">
        <v>6</v>
      </c>
      <c r="L39" s="44" t="s">
        <v>3</v>
      </c>
      <c r="M39" s="44" t="s">
        <v>17</v>
      </c>
      <c r="N39" s="44" t="s">
        <v>6</v>
      </c>
      <c r="O39" s="44" t="s">
        <v>3</v>
      </c>
      <c r="P39" s="44" t="s">
        <v>17</v>
      </c>
      <c r="Q39" s="44" t="s">
        <v>6</v>
      </c>
      <c r="R39" s="44" t="s">
        <v>3</v>
      </c>
      <c r="S39" s="44" t="s">
        <v>17</v>
      </c>
      <c r="T39" s="44" t="s">
        <v>6</v>
      </c>
      <c r="U39" s="44" t="s">
        <v>3</v>
      </c>
    </row>
    <row r="40" spans="1:21" ht="21" x14ac:dyDescent="0.35">
      <c r="A40" s="204"/>
      <c r="B40" s="204"/>
      <c r="C40" s="204"/>
      <c r="D40" s="14"/>
      <c r="E40" s="14"/>
      <c r="F40" s="74">
        <f>$E$40/10</f>
        <v>0</v>
      </c>
      <c r="G40" s="14"/>
      <c r="H40" s="14"/>
      <c r="I40" s="74">
        <f>$H$40/10</f>
        <v>0</v>
      </c>
      <c r="J40" s="14"/>
      <c r="K40" s="14"/>
      <c r="L40" s="34">
        <f>$K$40/10</f>
        <v>0</v>
      </c>
      <c r="M40" s="14"/>
      <c r="N40" s="14"/>
      <c r="O40" s="74">
        <f>$N$40/10</f>
        <v>0</v>
      </c>
      <c r="P40" s="14"/>
      <c r="Q40" s="14"/>
      <c r="R40" s="74">
        <f>$Q$40/10</f>
        <v>0</v>
      </c>
      <c r="S40" s="14"/>
      <c r="T40" s="14"/>
      <c r="U40" s="74">
        <f>$T$40/10</f>
        <v>0</v>
      </c>
    </row>
    <row r="41" spans="1:21" ht="22" x14ac:dyDescent="0.35">
      <c r="A41" s="6">
        <v>1</v>
      </c>
      <c r="B41" s="38">
        <f>B8</f>
        <v>651201193</v>
      </c>
      <c r="C41" s="39" t="str">
        <f>C8</f>
        <v>นางสาวอรทัย ศรีมันตะ</v>
      </c>
      <c r="D41" s="12"/>
      <c r="E41" s="8">
        <f>IF(D41="-","-",IF(D41=0,0,(D41*$E$40)/$D$40))</f>
        <v>0</v>
      </c>
      <c r="F41" s="3">
        <f>IF(D41="-","-",IF(D41=0,0,IF($D$52=0,50,(50+(10*(STANDARDIZE(D41,$D$51,$D$52)))))*$F$40))</f>
        <v>0</v>
      </c>
      <c r="G41" s="12"/>
      <c r="H41" s="8">
        <f>IF(G41="-","-",IF(G41=0,0,(G41*$H$40)/$G$40))</f>
        <v>0</v>
      </c>
      <c r="I41" s="3">
        <f>IF(G41="-","-",IF(G41=0,0,IF($G$52=0,50,(50+(10*(STANDARDIZE(G41,$G$51,$G$52)))))*$I$40))</f>
        <v>0</v>
      </c>
      <c r="J41" s="12"/>
      <c r="K41" s="8">
        <f>IF(J41="-","-",IF(J41=0,0,(J41*$K$40)/$J$40))</f>
        <v>0</v>
      </c>
      <c r="L41" s="3">
        <f>IF(J41="-","-",IF(J41=0,0,IF($J$52=0,50,(50+(10*(STANDARDIZE(J41,$J$51,$J$52)))))*$L$40))</f>
        <v>0</v>
      </c>
      <c r="M41" s="12"/>
      <c r="N41" s="8">
        <f>IF(M41="-","-",IF(M41=0,0,(M41*$N$40)/$M$40))</f>
        <v>0</v>
      </c>
      <c r="O41" s="3">
        <f>IF(M41="-","-",IF(M41=0,0,IF($M$52=0,50,(50+(10*(STANDARDIZE(M41,$M$51,$M$52)))))*$O$40))</f>
        <v>0</v>
      </c>
      <c r="P41" s="12"/>
      <c r="Q41" s="8">
        <f>IF(P41="-","-",IF(P41=0,0,(P41*$Q$40)/$P$40))</f>
        <v>0</v>
      </c>
      <c r="R41" s="3">
        <f>IF(P41="-","-",IF(P41=0,0,IF($P$52=0,50,(50+(10*(STANDARDIZE(P41,$P$51,$P$52)))))*$R$40))</f>
        <v>0</v>
      </c>
      <c r="S41" s="12"/>
      <c r="T41" s="8">
        <f>IF(S41="-","-",IF(S41=0,0,(S41*$T$40)/$S$40))</f>
        <v>0</v>
      </c>
      <c r="U41" s="3">
        <f>IF(S41="-","-",IF(S41=0,0,IF($S$52=0,50,(50+(10*(STANDARDIZE(S41,$S$51,$S$52)))))*$U$40))</f>
        <v>0</v>
      </c>
    </row>
    <row r="42" spans="1:21" ht="22" x14ac:dyDescent="0.35">
      <c r="A42" s="6">
        <v>2</v>
      </c>
      <c r="B42" s="38">
        <f t="shared" ref="B42:C50" si="25">B9</f>
        <v>651201194</v>
      </c>
      <c r="C42" s="39" t="str">
        <f t="shared" si="25"/>
        <v>นางสาวอริสา จนั ชาดา</v>
      </c>
      <c r="D42" s="12"/>
      <c r="E42" s="8">
        <f t="shared" ref="E42:E50" si="26">IF(D42="-","-",IF(D42=0,0,(D42*$E$40)/$D$40))</f>
        <v>0</v>
      </c>
      <c r="F42" s="3">
        <f t="shared" ref="F42:F50" si="27">IF(D42="-","-",IF(D42=0,0,IF($D$52=0,50,(50+(10*(STANDARDIZE(D42,$D$51,$D$52)))))*$F$40))</f>
        <v>0</v>
      </c>
      <c r="G42" s="12"/>
      <c r="H42" s="8">
        <f t="shared" ref="H42:H50" si="28">IF(G42="-","-",IF(G42=0,0,(G42*$H$40)/$G$40))</f>
        <v>0</v>
      </c>
      <c r="I42" s="3">
        <f t="shared" ref="I42:I50" si="29">IF(G42="-","-",IF(G42=0,0,IF($G$52=0,50,(50+(10*(STANDARDIZE(G42,$G$51,$G$52)))))*$I$40))</f>
        <v>0</v>
      </c>
      <c r="J42" s="12"/>
      <c r="K42" s="8">
        <f t="shared" ref="K42:K50" si="30">IF(J42="-","-",IF(J42=0,0,(J42*$K$40)/$J$40))</f>
        <v>0</v>
      </c>
      <c r="L42" s="3">
        <f t="shared" ref="L42:L50" si="31">IF(J42="-","-",IF(J42=0,0,IF($J$52=0,50,(50+(10*(STANDARDIZE(J42,$J$51,$J$52)))))*$L$40))</f>
        <v>0</v>
      </c>
      <c r="M42" s="12"/>
      <c r="N42" s="8">
        <f t="shared" ref="N42:N50" si="32">IF(M42="-","-",IF(M42=0,0,(M42*$N$40)/$M$40))</f>
        <v>0</v>
      </c>
      <c r="O42" s="3">
        <f t="shared" ref="O42:O50" si="33">IF(M42="-","-",IF(M42=0,0,IF($M$52=0,50,(50+(10*(STANDARDIZE(M42,$M$51,$M$52)))))*$O$40))</f>
        <v>0</v>
      </c>
      <c r="P42" s="12"/>
      <c r="Q42" s="8">
        <f t="shared" ref="Q42:Q50" si="34">IF(P42="-","-",IF(P42=0,0,(P42*$Q$40)/$P$40))</f>
        <v>0</v>
      </c>
      <c r="R42" s="3">
        <f t="shared" ref="R42:R50" si="35">IF(P42="-","-",IF(P42=0,0,IF($P$52=0,50,(50+(10*(STANDARDIZE(P42,$P$51,$P$52)))))*$R$40))</f>
        <v>0</v>
      </c>
      <c r="S42" s="12"/>
      <c r="T42" s="8">
        <f t="shared" ref="T42:T50" si="36">IF(S42="-","-",IF(S42=0,0,(S42*$T$40)/$S$40))</f>
        <v>0</v>
      </c>
      <c r="U42" s="3">
        <f t="shared" ref="U42:U50" si="37">IF(S42="-","-",IF(S42=0,0,IF($S$52=0,50,(50+(10*(STANDARDIZE(S42,$S$51,$S$52)))))*$U$40))</f>
        <v>0</v>
      </c>
    </row>
    <row r="43" spans="1:21" ht="22" x14ac:dyDescent="0.35">
      <c r="A43" s="6">
        <v>3</v>
      </c>
      <c r="B43" s="38">
        <f t="shared" si="25"/>
        <v>651201195</v>
      </c>
      <c r="C43" s="39" t="str">
        <f t="shared" si="25"/>
        <v>นางสาวอริสา ดำรงเชื้อ</v>
      </c>
      <c r="D43" s="12"/>
      <c r="E43" s="8">
        <f t="shared" si="26"/>
        <v>0</v>
      </c>
      <c r="F43" s="3">
        <f t="shared" si="27"/>
        <v>0</v>
      </c>
      <c r="G43" s="12"/>
      <c r="H43" s="8">
        <f t="shared" si="28"/>
        <v>0</v>
      </c>
      <c r="I43" s="3">
        <f t="shared" si="29"/>
        <v>0</v>
      </c>
      <c r="J43" s="12"/>
      <c r="K43" s="8">
        <f t="shared" si="30"/>
        <v>0</v>
      </c>
      <c r="L43" s="3">
        <f t="shared" si="31"/>
        <v>0</v>
      </c>
      <c r="M43" s="12"/>
      <c r="N43" s="8">
        <f t="shared" si="32"/>
        <v>0</v>
      </c>
      <c r="O43" s="3">
        <f t="shared" si="33"/>
        <v>0</v>
      </c>
      <c r="P43" s="12"/>
      <c r="Q43" s="8">
        <f t="shared" si="34"/>
        <v>0</v>
      </c>
      <c r="R43" s="3">
        <f t="shared" si="35"/>
        <v>0</v>
      </c>
      <c r="S43" s="12"/>
      <c r="T43" s="8">
        <f t="shared" si="36"/>
        <v>0</v>
      </c>
      <c r="U43" s="3">
        <f t="shared" si="37"/>
        <v>0</v>
      </c>
    </row>
    <row r="44" spans="1:21" ht="22" x14ac:dyDescent="0.35">
      <c r="A44" s="6">
        <v>4</v>
      </c>
      <c r="B44" s="38">
        <f t="shared" si="25"/>
        <v>651201196</v>
      </c>
      <c r="C44" s="39" t="str">
        <f t="shared" si="25"/>
        <v>นายอัครพนธ์ เจนชัย</v>
      </c>
      <c r="D44" s="12"/>
      <c r="E44" s="8">
        <f t="shared" si="26"/>
        <v>0</v>
      </c>
      <c r="F44" s="3">
        <f t="shared" si="27"/>
        <v>0</v>
      </c>
      <c r="G44" s="12"/>
      <c r="H44" s="8">
        <f t="shared" si="28"/>
        <v>0</v>
      </c>
      <c r="I44" s="3">
        <f t="shared" si="29"/>
        <v>0</v>
      </c>
      <c r="J44" s="12"/>
      <c r="K44" s="8">
        <f t="shared" si="30"/>
        <v>0</v>
      </c>
      <c r="L44" s="3">
        <f t="shared" si="31"/>
        <v>0</v>
      </c>
      <c r="M44" s="12"/>
      <c r="N44" s="8">
        <f t="shared" si="32"/>
        <v>0</v>
      </c>
      <c r="O44" s="3">
        <f t="shared" si="33"/>
        <v>0</v>
      </c>
      <c r="P44" s="12"/>
      <c r="Q44" s="8">
        <f t="shared" si="34"/>
        <v>0</v>
      </c>
      <c r="R44" s="3">
        <f t="shared" si="35"/>
        <v>0</v>
      </c>
      <c r="S44" s="12"/>
      <c r="T44" s="8">
        <f t="shared" si="36"/>
        <v>0</v>
      </c>
      <c r="U44" s="3">
        <f t="shared" si="37"/>
        <v>0</v>
      </c>
    </row>
    <row r="45" spans="1:21" ht="22" x14ac:dyDescent="0.35">
      <c r="A45" s="6">
        <v>5</v>
      </c>
      <c r="B45" s="38">
        <f t="shared" si="25"/>
        <v>651201197</v>
      </c>
      <c r="C45" s="39" t="str">
        <f t="shared" si="25"/>
        <v>นางสาวอัญมณี คำโสภา</v>
      </c>
      <c r="D45" s="12"/>
      <c r="E45" s="8">
        <f t="shared" si="26"/>
        <v>0</v>
      </c>
      <c r="F45" s="3">
        <f t="shared" si="27"/>
        <v>0</v>
      </c>
      <c r="G45" s="12"/>
      <c r="H45" s="8">
        <f t="shared" si="28"/>
        <v>0</v>
      </c>
      <c r="I45" s="3">
        <f t="shared" si="29"/>
        <v>0</v>
      </c>
      <c r="J45" s="12"/>
      <c r="K45" s="8">
        <f t="shared" si="30"/>
        <v>0</v>
      </c>
      <c r="L45" s="3">
        <f t="shared" si="31"/>
        <v>0</v>
      </c>
      <c r="M45" s="12"/>
      <c r="N45" s="8">
        <f t="shared" si="32"/>
        <v>0</v>
      </c>
      <c r="O45" s="3">
        <f t="shared" si="33"/>
        <v>0</v>
      </c>
      <c r="P45" s="12"/>
      <c r="Q45" s="8">
        <f t="shared" si="34"/>
        <v>0</v>
      </c>
      <c r="R45" s="3">
        <f t="shared" si="35"/>
        <v>0</v>
      </c>
      <c r="S45" s="12"/>
      <c r="T45" s="8">
        <f t="shared" si="36"/>
        <v>0</v>
      </c>
      <c r="U45" s="3">
        <f t="shared" si="37"/>
        <v>0</v>
      </c>
    </row>
    <row r="46" spans="1:21" ht="22" x14ac:dyDescent="0.35">
      <c r="A46" s="6">
        <v>6</v>
      </c>
      <c r="B46" s="38">
        <f t="shared" si="25"/>
        <v>651201198</v>
      </c>
      <c r="C46" s="39" t="str">
        <f t="shared" si="25"/>
        <v>นางสาวอาทิตยา วิชัยดิษฐ</v>
      </c>
      <c r="D46" s="12"/>
      <c r="E46" s="8">
        <f t="shared" si="26"/>
        <v>0</v>
      </c>
      <c r="F46" s="3">
        <f t="shared" si="27"/>
        <v>0</v>
      </c>
      <c r="G46" s="12"/>
      <c r="H46" s="8">
        <f t="shared" si="28"/>
        <v>0</v>
      </c>
      <c r="I46" s="3">
        <f t="shared" si="29"/>
        <v>0</v>
      </c>
      <c r="J46" s="12"/>
      <c r="K46" s="8">
        <f t="shared" si="30"/>
        <v>0</v>
      </c>
      <c r="L46" s="3">
        <f t="shared" si="31"/>
        <v>0</v>
      </c>
      <c r="M46" s="12"/>
      <c r="N46" s="8">
        <f t="shared" si="32"/>
        <v>0</v>
      </c>
      <c r="O46" s="3">
        <f t="shared" si="33"/>
        <v>0</v>
      </c>
      <c r="P46" s="12"/>
      <c r="Q46" s="8">
        <f t="shared" si="34"/>
        <v>0</v>
      </c>
      <c r="R46" s="3">
        <f t="shared" si="35"/>
        <v>0</v>
      </c>
      <c r="S46" s="12"/>
      <c r="T46" s="8">
        <f t="shared" si="36"/>
        <v>0</v>
      </c>
      <c r="U46" s="3">
        <f t="shared" si="37"/>
        <v>0</v>
      </c>
    </row>
    <row r="47" spans="1:21" ht="22" x14ac:dyDescent="0.35">
      <c r="A47" s="6">
        <v>7</v>
      </c>
      <c r="B47" s="38">
        <f t="shared" si="25"/>
        <v>651201199</v>
      </c>
      <c r="C47" s="39" t="str">
        <f t="shared" si="25"/>
        <v>นางสาวอาทิตยา ใจสูงเนิน</v>
      </c>
      <c r="D47" s="12"/>
      <c r="E47" s="8">
        <f t="shared" si="26"/>
        <v>0</v>
      </c>
      <c r="F47" s="3">
        <f t="shared" si="27"/>
        <v>0</v>
      </c>
      <c r="G47" s="12"/>
      <c r="H47" s="8">
        <f t="shared" si="28"/>
        <v>0</v>
      </c>
      <c r="I47" s="3">
        <f t="shared" si="29"/>
        <v>0</v>
      </c>
      <c r="J47" s="12"/>
      <c r="K47" s="8">
        <f t="shared" si="30"/>
        <v>0</v>
      </c>
      <c r="L47" s="3">
        <f t="shared" si="31"/>
        <v>0</v>
      </c>
      <c r="M47" s="12"/>
      <c r="N47" s="8">
        <f t="shared" si="32"/>
        <v>0</v>
      </c>
      <c r="O47" s="3">
        <f t="shared" si="33"/>
        <v>0</v>
      </c>
      <c r="P47" s="12"/>
      <c r="Q47" s="8">
        <f t="shared" si="34"/>
        <v>0</v>
      </c>
      <c r="R47" s="3">
        <f t="shared" si="35"/>
        <v>0</v>
      </c>
      <c r="S47" s="12"/>
      <c r="T47" s="8">
        <f t="shared" si="36"/>
        <v>0</v>
      </c>
      <c r="U47" s="3">
        <f t="shared" si="37"/>
        <v>0</v>
      </c>
    </row>
    <row r="48" spans="1:21" ht="21" x14ac:dyDescent="0.35">
      <c r="A48" s="6">
        <v>8</v>
      </c>
      <c r="B48" s="38">
        <f t="shared" si="25"/>
        <v>651201200</v>
      </c>
      <c r="C48" s="39" t="str">
        <f t="shared" si="25"/>
        <v>นางสาวอุไรวรรณ กองพอด</v>
      </c>
      <c r="D48" s="12"/>
      <c r="E48" s="8">
        <f t="shared" si="26"/>
        <v>0</v>
      </c>
      <c r="F48" s="3">
        <f t="shared" si="27"/>
        <v>0</v>
      </c>
      <c r="G48" s="12"/>
      <c r="H48" s="8">
        <f t="shared" si="28"/>
        <v>0</v>
      </c>
      <c r="I48" s="3">
        <f t="shared" si="29"/>
        <v>0</v>
      </c>
      <c r="J48" s="12"/>
      <c r="K48" s="8">
        <f t="shared" si="30"/>
        <v>0</v>
      </c>
      <c r="L48" s="3">
        <f t="shared" si="31"/>
        <v>0</v>
      </c>
      <c r="M48" s="12"/>
      <c r="N48" s="8">
        <f t="shared" si="32"/>
        <v>0</v>
      </c>
      <c r="O48" s="3">
        <f t="shared" si="33"/>
        <v>0</v>
      </c>
      <c r="P48" s="12"/>
      <c r="Q48" s="8">
        <f t="shared" si="34"/>
        <v>0</v>
      </c>
      <c r="R48" s="3">
        <f t="shared" si="35"/>
        <v>0</v>
      </c>
      <c r="S48" s="12"/>
      <c r="T48" s="8">
        <f t="shared" si="36"/>
        <v>0</v>
      </c>
      <c r="U48" s="3">
        <f t="shared" si="37"/>
        <v>0</v>
      </c>
    </row>
    <row r="49" spans="1:21" ht="21" x14ac:dyDescent="0.35">
      <c r="A49" s="6">
        <v>9</v>
      </c>
      <c r="B49" s="38">
        <f t="shared" si="25"/>
        <v>651201201</v>
      </c>
      <c r="C49" s="39" t="str">
        <f t="shared" si="25"/>
        <v>นางสาวกรรณิการ์ ประกอบแก้ว</v>
      </c>
      <c r="D49" s="12"/>
      <c r="E49" s="8">
        <f t="shared" si="26"/>
        <v>0</v>
      </c>
      <c r="F49" s="3">
        <f t="shared" si="27"/>
        <v>0</v>
      </c>
      <c r="G49" s="12"/>
      <c r="H49" s="8">
        <f t="shared" si="28"/>
        <v>0</v>
      </c>
      <c r="I49" s="3">
        <f t="shared" si="29"/>
        <v>0</v>
      </c>
      <c r="J49" s="12"/>
      <c r="K49" s="8">
        <f t="shared" si="30"/>
        <v>0</v>
      </c>
      <c r="L49" s="3">
        <f t="shared" si="31"/>
        <v>0</v>
      </c>
      <c r="M49" s="12"/>
      <c r="N49" s="8">
        <f t="shared" si="32"/>
        <v>0</v>
      </c>
      <c r="O49" s="3">
        <f t="shared" si="33"/>
        <v>0</v>
      </c>
      <c r="P49" s="12"/>
      <c r="Q49" s="8">
        <f t="shared" si="34"/>
        <v>0</v>
      </c>
      <c r="R49" s="3">
        <f t="shared" si="35"/>
        <v>0</v>
      </c>
      <c r="S49" s="12"/>
      <c r="T49" s="8">
        <f t="shared" si="36"/>
        <v>0</v>
      </c>
      <c r="U49" s="3">
        <f t="shared" si="37"/>
        <v>0</v>
      </c>
    </row>
    <row r="50" spans="1:21" ht="21" x14ac:dyDescent="0.35">
      <c r="A50" s="6">
        <v>10</v>
      </c>
      <c r="B50" s="38">
        <f t="shared" si="25"/>
        <v>0</v>
      </c>
      <c r="C50" s="39">
        <f t="shared" si="25"/>
        <v>0</v>
      </c>
      <c r="D50" s="12"/>
      <c r="E50" s="8">
        <f t="shared" si="26"/>
        <v>0</v>
      </c>
      <c r="F50" s="3">
        <f t="shared" si="27"/>
        <v>0</v>
      </c>
      <c r="G50" s="12"/>
      <c r="H50" s="8">
        <f t="shared" si="28"/>
        <v>0</v>
      </c>
      <c r="I50" s="3">
        <f t="shared" si="29"/>
        <v>0</v>
      </c>
      <c r="J50" s="12"/>
      <c r="K50" s="8">
        <f t="shared" si="30"/>
        <v>0</v>
      </c>
      <c r="L50" s="3">
        <f t="shared" si="31"/>
        <v>0</v>
      </c>
      <c r="M50" s="12"/>
      <c r="N50" s="8">
        <f t="shared" si="32"/>
        <v>0</v>
      </c>
      <c r="O50" s="3">
        <f t="shared" si="33"/>
        <v>0</v>
      </c>
      <c r="P50" s="12"/>
      <c r="Q50" s="8">
        <f t="shared" si="34"/>
        <v>0</v>
      </c>
      <c r="R50" s="3">
        <f t="shared" si="35"/>
        <v>0</v>
      </c>
      <c r="S50" s="12"/>
      <c r="T50" s="8">
        <f t="shared" si="36"/>
        <v>0</v>
      </c>
      <c r="U50" s="3">
        <f t="shared" si="37"/>
        <v>0</v>
      </c>
    </row>
    <row r="51" spans="1:21" ht="21" x14ac:dyDescent="0.35">
      <c r="A51" s="2"/>
      <c r="B51" s="2"/>
      <c r="C51" s="42" t="s">
        <v>13</v>
      </c>
      <c r="D51" s="9" t="e">
        <f>AVERAGE($D$41:$D$50)</f>
        <v>#DIV/0!</v>
      </c>
      <c r="E51" s="1"/>
      <c r="F51" s="1"/>
      <c r="G51" s="9" t="e">
        <f>AVERAGE($G$41:$G$50)</f>
        <v>#DIV/0!</v>
      </c>
      <c r="H51" s="1"/>
      <c r="I51" s="1"/>
      <c r="J51" s="9" t="e">
        <f>AVERAGE($J$41:$J$50)</f>
        <v>#DIV/0!</v>
      </c>
      <c r="K51" s="1"/>
      <c r="L51" s="1"/>
      <c r="M51" s="9" t="e">
        <f>AVERAGE($M$41:$M$50)</f>
        <v>#DIV/0!</v>
      </c>
      <c r="N51" s="1"/>
      <c r="O51" s="1"/>
      <c r="P51" s="9" t="e">
        <f>AVERAGE($P$41:$P$50)</f>
        <v>#DIV/0!</v>
      </c>
      <c r="Q51" s="1"/>
      <c r="R51" s="1"/>
      <c r="S51" s="9" t="e">
        <f>AVERAGE($S$41:$S$50)</f>
        <v>#DIV/0!</v>
      </c>
      <c r="T51" s="1"/>
      <c r="U51" s="1"/>
    </row>
    <row r="52" spans="1:21" ht="21" x14ac:dyDescent="0.35">
      <c r="A52" s="2"/>
      <c r="B52" s="2"/>
      <c r="C52" s="42" t="s">
        <v>14</v>
      </c>
      <c r="D52" s="9" t="e">
        <f>STDEV($D$41:$D$50)</f>
        <v>#DIV/0!</v>
      </c>
      <c r="E52" s="1"/>
      <c r="F52" s="5"/>
      <c r="G52" s="9" t="e">
        <f>STDEV($G$41:$G$50)</f>
        <v>#DIV/0!</v>
      </c>
      <c r="H52" s="1"/>
      <c r="I52" s="1"/>
      <c r="J52" s="9" t="e">
        <f>STDEV($J$41:$J$50)</f>
        <v>#DIV/0!</v>
      </c>
      <c r="K52" s="1"/>
      <c r="L52" s="1"/>
      <c r="M52" s="9" t="e">
        <f>STDEV($M$41:$M$50)</f>
        <v>#DIV/0!</v>
      </c>
      <c r="N52" s="1"/>
      <c r="O52" s="5"/>
      <c r="P52" s="9" t="e">
        <f>STDEV($P$41:$P$50)</f>
        <v>#DIV/0!</v>
      </c>
      <c r="Q52" s="1"/>
      <c r="R52" s="5"/>
      <c r="S52" s="9" t="e">
        <f>STDEV($S$41:$S$50)</f>
        <v>#DIV/0!</v>
      </c>
      <c r="T52" s="1"/>
      <c r="U52" s="1"/>
    </row>
    <row r="53" spans="1:21" ht="21" x14ac:dyDescent="0.35">
      <c r="A53" s="2"/>
      <c r="B53" s="2"/>
      <c r="C53" s="42"/>
      <c r="D53" s="9"/>
      <c r="E53" s="1"/>
      <c r="F53" s="5"/>
      <c r="G53" s="9"/>
      <c r="H53" s="1"/>
      <c r="I53" s="1"/>
      <c r="J53" s="9"/>
      <c r="K53" s="1"/>
      <c r="L53" s="5"/>
      <c r="M53" s="9"/>
      <c r="N53" s="1"/>
      <c r="O53" s="1"/>
      <c r="P53" s="1" t="s">
        <v>2</v>
      </c>
      <c r="Q53" s="1"/>
      <c r="R53" s="1"/>
      <c r="S53" s="1"/>
      <c r="T53" s="1"/>
      <c r="U53" s="1"/>
    </row>
    <row r="54" spans="1:21" ht="21" x14ac:dyDescent="0.35">
      <c r="A54" s="2"/>
      <c r="B54" s="2"/>
      <c r="C54" s="42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1"/>
      <c r="T54" s="1"/>
      <c r="U54" s="1"/>
    </row>
    <row r="55" spans="1:21" ht="21" x14ac:dyDescent="0.35">
      <c r="A55" s="204" t="s">
        <v>5</v>
      </c>
      <c r="B55" s="204" t="s">
        <v>12</v>
      </c>
      <c r="C55" s="204" t="s">
        <v>0</v>
      </c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14"/>
      <c r="T55" s="215"/>
      <c r="U55" s="216"/>
    </row>
    <row r="56" spans="1:21" ht="21" x14ac:dyDescent="0.2">
      <c r="A56" s="204"/>
      <c r="B56" s="204"/>
      <c r="C56" s="204"/>
      <c r="D56" s="44" t="s">
        <v>17</v>
      </c>
      <c r="E56" s="44" t="s">
        <v>6</v>
      </c>
      <c r="F56" s="44" t="s">
        <v>3</v>
      </c>
      <c r="G56" s="44" t="s">
        <v>17</v>
      </c>
      <c r="H56" s="44" t="s">
        <v>6</v>
      </c>
      <c r="I56" s="44" t="s">
        <v>3</v>
      </c>
      <c r="J56" s="44" t="s">
        <v>17</v>
      </c>
      <c r="K56" s="44" t="s">
        <v>6</v>
      </c>
      <c r="L56" s="44" t="s">
        <v>3</v>
      </c>
      <c r="M56" s="44" t="s">
        <v>17</v>
      </c>
      <c r="N56" s="44" t="s">
        <v>6</v>
      </c>
      <c r="O56" s="44" t="s">
        <v>3</v>
      </c>
      <c r="P56" s="44" t="s">
        <v>17</v>
      </c>
      <c r="Q56" s="44" t="s">
        <v>6</v>
      </c>
      <c r="R56" s="44" t="s">
        <v>3</v>
      </c>
      <c r="S56" s="44" t="s">
        <v>17</v>
      </c>
      <c r="T56" s="44" t="s">
        <v>6</v>
      </c>
      <c r="U56" s="44" t="s">
        <v>3</v>
      </c>
    </row>
    <row r="57" spans="1:21" ht="21" x14ac:dyDescent="0.35">
      <c r="A57" s="204"/>
      <c r="B57" s="204"/>
      <c r="C57" s="204"/>
      <c r="D57" s="14"/>
      <c r="E57" s="14"/>
      <c r="F57" s="74">
        <f>$E$57/10</f>
        <v>0</v>
      </c>
      <c r="G57" s="14"/>
      <c r="H57" s="14"/>
      <c r="I57" s="74">
        <f>$H$57/10</f>
        <v>0</v>
      </c>
      <c r="J57" s="14"/>
      <c r="K57" s="14"/>
      <c r="L57" s="74">
        <f>$K$57/10</f>
        <v>0</v>
      </c>
      <c r="M57" s="14"/>
      <c r="N57" s="14"/>
      <c r="O57" s="74">
        <f>$N$57/10</f>
        <v>0</v>
      </c>
      <c r="P57" s="43"/>
      <c r="Q57" s="43"/>
      <c r="R57" s="74">
        <f>$Q$57/10</f>
        <v>0</v>
      </c>
      <c r="S57" s="43"/>
      <c r="T57" s="43"/>
      <c r="U57" s="74">
        <f>$T$57/10</f>
        <v>0</v>
      </c>
    </row>
    <row r="58" spans="1:21" ht="22" x14ac:dyDescent="0.35">
      <c r="A58" s="6">
        <v>1</v>
      </c>
      <c r="B58" s="38">
        <f>B8</f>
        <v>651201193</v>
      </c>
      <c r="C58" s="73" t="str">
        <f>C8</f>
        <v>นางสาวอรทัย ศรีมันตะ</v>
      </c>
      <c r="D58" s="12"/>
      <c r="E58" s="8">
        <f>IF(D58="-","-",IF(D58=0,0,(D58*$E$57)/$D$57))</f>
        <v>0</v>
      </c>
      <c r="F58" s="3">
        <f>IF(D58="-","-",IF(D58=0,0,IF($D$69=0,50,(50+(10*(STANDARDIZE(D58,$D$68,$D$69)))))*$F$57))</f>
        <v>0</v>
      </c>
      <c r="G58" s="12"/>
      <c r="H58" s="8">
        <f>IF(G58="-","-",IF(G58=0,0,(G58*$H$57)/$G$57))</f>
        <v>0</v>
      </c>
      <c r="I58" s="3">
        <f>IF(G58="-","-",IF(G58=0,0,IF($G$69=0,50,(50+(10*(STANDARDIZE(G58,$G$68,$G$69)))))*$I$57))</f>
        <v>0</v>
      </c>
      <c r="J58" s="12"/>
      <c r="K58" s="8">
        <f>IF(J58="-","-",IF(J58=0,0,(J58*$K$57)/$J$57))</f>
        <v>0</v>
      </c>
      <c r="L58" s="3">
        <f>IF(J58="-","-",IF(J58=0,0,IF($J$69=0,50,(50+(10*(STANDARDIZE(J58,$J$68,$J$69)))))*$L$57))</f>
        <v>0</v>
      </c>
      <c r="M58" s="12"/>
      <c r="N58" s="8">
        <f>IF(M58="-","-",IF(M58=0,0,(M58*$N$40)/$M$40))</f>
        <v>0</v>
      </c>
      <c r="O58" s="3">
        <f>IF(M58="-","-",IF(M58=0,0,IF($M$69=0,50,(50+(10*(STANDARDIZE(M58,$M$68,$M$69)))))*$O$57))</f>
        <v>0</v>
      </c>
      <c r="P58" s="12"/>
      <c r="Q58" s="8">
        <f>IF(P58="-","-",IF(P58=0,0,(P58*$Q$57)/$P$57))</f>
        <v>0</v>
      </c>
      <c r="R58" s="3">
        <f>IF(P58="-","-",IF(P58=0,0,IF($P$69=0,50,(50+(10*(STANDARDIZE(P58,$P$68,$P$69)))))*$R$57))</f>
        <v>0</v>
      </c>
      <c r="S58" s="12"/>
      <c r="T58" s="8">
        <f>IF(S58="-","-",IF(S58=0,0,(S58*$T$57)/$S$57))</f>
        <v>0</v>
      </c>
      <c r="U58" s="3">
        <f>IF(S58="-","-",IF(S58=0,0,IF($S$69=0,50,(50+(10*(STANDARDIZE(S58,$S$68,$S$69)))))*$U$57))</f>
        <v>0</v>
      </c>
    </row>
    <row r="59" spans="1:21" ht="22" x14ac:dyDescent="0.35">
      <c r="A59" s="6">
        <v>2</v>
      </c>
      <c r="B59" s="38">
        <f t="shared" ref="B59:C67" si="38">B9</f>
        <v>651201194</v>
      </c>
      <c r="C59" s="73" t="str">
        <f t="shared" si="38"/>
        <v>นางสาวอริสา จนั ชาดา</v>
      </c>
      <c r="D59" s="12"/>
      <c r="E59" s="8">
        <f t="shared" ref="E59:E67" si="39">IF(D59="-","-",IF(D59=0,0,(D59*$E$57)/$D$57))</f>
        <v>0</v>
      </c>
      <c r="F59" s="3">
        <f t="shared" ref="F59:F67" si="40">IF(D59="-","-",IF(D59=0,0,IF($D$69=0,50,(50+(10*(STANDARDIZE(D59,$D$68,$D$69)))))*$F$57))</f>
        <v>0</v>
      </c>
      <c r="G59" s="12"/>
      <c r="H59" s="8">
        <f t="shared" ref="H59:H67" si="41">IF(G59="-","-",IF(G59=0,0,(G59*$H$57)/$G$57))</f>
        <v>0</v>
      </c>
      <c r="I59" s="3">
        <f t="shared" ref="I59:I67" si="42">IF(G59="-","-",IF(G59=0,0,IF($G$69=0,50,(50+(10*(STANDARDIZE(G59,$G$68,$G$69)))))*$I$57))</f>
        <v>0</v>
      </c>
      <c r="J59" s="12"/>
      <c r="K59" s="8">
        <f t="shared" ref="K59:K67" si="43">IF(J59="-","-",IF(J59=0,0,(J59*$K$57)/$J$57))</f>
        <v>0</v>
      </c>
      <c r="L59" s="3">
        <f t="shared" ref="L59:L67" si="44">IF(J59="-","-",IF(J59=0,0,IF($J$69=0,50,(50+(10*(STANDARDIZE(J59,$J$68,$J$69)))))*$L$57))</f>
        <v>0</v>
      </c>
      <c r="M59" s="12"/>
      <c r="N59" s="8">
        <f t="shared" ref="N59:N67" si="45">IF(M59="-","-",IF(M59=0,0,(M59*$N$40)/$M$40))</f>
        <v>0</v>
      </c>
      <c r="O59" s="3">
        <f t="shared" ref="O59:O67" si="46">IF(M59="-","-",IF(M59=0,0,IF($M$69=0,50,(50+(10*(STANDARDIZE(M59,$M$68,$M$69)))))*$O$57))</f>
        <v>0</v>
      </c>
      <c r="P59" s="12"/>
      <c r="Q59" s="8">
        <f t="shared" ref="Q59:Q67" si="47">IF(P59="-","-",IF(P59=0,0,(P59*$Q$57)/$P$57))</f>
        <v>0</v>
      </c>
      <c r="R59" s="3">
        <f t="shared" ref="R59:R67" si="48">IF(P59="-","-",IF(P59=0,0,IF($P$69=0,50,(50+(10*(STANDARDIZE(P59,$P$68,$P$69)))))*$R$57))</f>
        <v>0</v>
      </c>
      <c r="S59" s="12"/>
      <c r="T59" s="8">
        <f t="shared" ref="T59:T67" si="49">IF(S59="-","-",IF(S59=0,0,(S59*$T$57)/$S$57))</f>
        <v>0</v>
      </c>
      <c r="U59" s="3">
        <f t="shared" ref="U59:U67" si="50">IF(S59="-","-",IF(S59=0,0,IF($S$69=0,50,(50+(10*(STANDARDIZE(S59,$S$68,$S$69)))))*$U$57))</f>
        <v>0</v>
      </c>
    </row>
    <row r="60" spans="1:21" ht="22" x14ac:dyDescent="0.35">
      <c r="A60" s="6">
        <v>3</v>
      </c>
      <c r="B60" s="38">
        <f t="shared" si="38"/>
        <v>651201195</v>
      </c>
      <c r="C60" s="73" t="str">
        <f t="shared" si="38"/>
        <v>นางสาวอริสา ดำรงเชื้อ</v>
      </c>
      <c r="D60" s="12"/>
      <c r="E60" s="8">
        <f t="shared" si="39"/>
        <v>0</v>
      </c>
      <c r="F60" s="3">
        <f t="shared" si="40"/>
        <v>0</v>
      </c>
      <c r="G60" s="12"/>
      <c r="H60" s="8">
        <f t="shared" si="41"/>
        <v>0</v>
      </c>
      <c r="I60" s="3">
        <f t="shared" si="42"/>
        <v>0</v>
      </c>
      <c r="J60" s="12"/>
      <c r="K60" s="8">
        <f t="shared" si="43"/>
        <v>0</v>
      </c>
      <c r="L60" s="3">
        <f t="shared" si="44"/>
        <v>0</v>
      </c>
      <c r="M60" s="12"/>
      <c r="N60" s="8">
        <f t="shared" si="45"/>
        <v>0</v>
      </c>
      <c r="O60" s="3">
        <f t="shared" si="46"/>
        <v>0</v>
      </c>
      <c r="P60" s="12"/>
      <c r="Q60" s="8">
        <f t="shared" si="47"/>
        <v>0</v>
      </c>
      <c r="R60" s="3">
        <f t="shared" si="48"/>
        <v>0</v>
      </c>
      <c r="S60" s="12"/>
      <c r="T60" s="8">
        <f t="shared" si="49"/>
        <v>0</v>
      </c>
      <c r="U60" s="3">
        <f t="shared" si="50"/>
        <v>0</v>
      </c>
    </row>
    <row r="61" spans="1:21" ht="22" x14ac:dyDescent="0.35">
      <c r="A61" s="6">
        <v>4</v>
      </c>
      <c r="B61" s="38">
        <f t="shared" si="38"/>
        <v>651201196</v>
      </c>
      <c r="C61" s="73" t="str">
        <f t="shared" si="38"/>
        <v>นายอัครพนธ์ เจนชัย</v>
      </c>
      <c r="D61" s="12"/>
      <c r="E61" s="8">
        <f t="shared" si="39"/>
        <v>0</v>
      </c>
      <c r="F61" s="3">
        <f t="shared" si="40"/>
        <v>0</v>
      </c>
      <c r="G61" s="12"/>
      <c r="H61" s="8">
        <f t="shared" si="41"/>
        <v>0</v>
      </c>
      <c r="I61" s="3">
        <f t="shared" si="42"/>
        <v>0</v>
      </c>
      <c r="J61" s="12"/>
      <c r="K61" s="8">
        <f t="shared" si="43"/>
        <v>0</v>
      </c>
      <c r="L61" s="3">
        <f t="shared" si="44"/>
        <v>0</v>
      </c>
      <c r="M61" s="12"/>
      <c r="N61" s="8">
        <f t="shared" si="45"/>
        <v>0</v>
      </c>
      <c r="O61" s="3">
        <f t="shared" si="46"/>
        <v>0</v>
      </c>
      <c r="P61" s="12"/>
      <c r="Q61" s="8">
        <f t="shared" si="47"/>
        <v>0</v>
      </c>
      <c r="R61" s="3">
        <f t="shared" si="48"/>
        <v>0</v>
      </c>
      <c r="S61" s="12"/>
      <c r="T61" s="8">
        <f t="shared" si="49"/>
        <v>0</v>
      </c>
      <c r="U61" s="3">
        <f t="shared" si="50"/>
        <v>0</v>
      </c>
    </row>
    <row r="62" spans="1:21" ht="22" x14ac:dyDescent="0.35">
      <c r="A62" s="6">
        <v>5</v>
      </c>
      <c r="B62" s="38">
        <f t="shared" si="38"/>
        <v>651201197</v>
      </c>
      <c r="C62" s="73" t="str">
        <f t="shared" si="38"/>
        <v>นางสาวอัญมณี คำโสภา</v>
      </c>
      <c r="D62" s="12"/>
      <c r="E62" s="8">
        <f t="shared" si="39"/>
        <v>0</v>
      </c>
      <c r="F62" s="3">
        <f t="shared" si="40"/>
        <v>0</v>
      </c>
      <c r="G62" s="12"/>
      <c r="H62" s="8">
        <f t="shared" si="41"/>
        <v>0</v>
      </c>
      <c r="I62" s="3">
        <f t="shared" si="42"/>
        <v>0</v>
      </c>
      <c r="J62" s="12"/>
      <c r="K62" s="8">
        <f t="shared" si="43"/>
        <v>0</v>
      </c>
      <c r="L62" s="3">
        <f t="shared" si="44"/>
        <v>0</v>
      </c>
      <c r="M62" s="12"/>
      <c r="N62" s="8">
        <f t="shared" si="45"/>
        <v>0</v>
      </c>
      <c r="O62" s="3">
        <f t="shared" si="46"/>
        <v>0</v>
      </c>
      <c r="P62" s="12"/>
      <c r="Q62" s="8">
        <f t="shared" si="47"/>
        <v>0</v>
      </c>
      <c r="R62" s="3">
        <f t="shared" si="48"/>
        <v>0</v>
      </c>
      <c r="S62" s="12"/>
      <c r="T62" s="8">
        <f t="shared" si="49"/>
        <v>0</v>
      </c>
      <c r="U62" s="3">
        <f t="shared" si="50"/>
        <v>0</v>
      </c>
    </row>
    <row r="63" spans="1:21" ht="22" x14ac:dyDescent="0.35">
      <c r="A63" s="6">
        <v>6</v>
      </c>
      <c r="B63" s="38">
        <f t="shared" si="38"/>
        <v>651201198</v>
      </c>
      <c r="C63" s="73" t="str">
        <f t="shared" si="38"/>
        <v>นางสาวอาทิตยา วิชัยดิษฐ</v>
      </c>
      <c r="D63" s="12"/>
      <c r="E63" s="8">
        <f t="shared" si="39"/>
        <v>0</v>
      </c>
      <c r="F63" s="3">
        <f t="shared" si="40"/>
        <v>0</v>
      </c>
      <c r="G63" s="12"/>
      <c r="H63" s="8">
        <f t="shared" si="41"/>
        <v>0</v>
      </c>
      <c r="I63" s="3">
        <f t="shared" si="42"/>
        <v>0</v>
      </c>
      <c r="J63" s="12"/>
      <c r="K63" s="8">
        <f t="shared" si="43"/>
        <v>0</v>
      </c>
      <c r="L63" s="3">
        <f t="shared" si="44"/>
        <v>0</v>
      </c>
      <c r="M63" s="12"/>
      <c r="N63" s="8">
        <f t="shared" si="45"/>
        <v>0</v>
      </c>
      <c r="O63" s="3">
        <f t="shared" si="46"/>
        <v>0</v>
      </c>
      <c r="P63" s="12"/>
      <c r="Q63" s="8">
        <f t="shared" si="47"/>
        <v>0</v>
      </c>
      <c r="R63" s="3">
        <f t="shared" si="48"/>
        <v>0</v>
      </c>
      <c r="S63" s="12"/>
      <c r="T63" s="8">
        <f t="shared" si="49"/>
        <v>0</v>
      </c>
      <c r="U63" s="3">
        <f t="shared" si="50"/>
        <v>0</v>
      </c>
    </row>
    <row r="64" spans="1:21" ht="22" x14ac:dyDescent="0.35">
      <c r="A64" s="6">
        <v>7</v>
      </c>
      <c r="B64" s="38">
        <f t="shared" si="38"/>
        <v>651201199</v>
      </c>
      <c r="C64" s="73" t="str">
        <f t="shared" si="38"/>
        <v>นางสาวอาทิตยา ใจสูงเนิน</v>
      </c>
      <c r="D64" s="12"/>
      <c r="E64" s="8">
        <f t="shared" si="39"/>
        <v>0</v>
      </c>
      <c r="F64" s="3">
        <f t="shared" si="40"/>
        <v>0</v>
      </c>
      <c r="G64" s="12"/>
      <c r="H64" s="8">
        <f t="shared" si="41"/>
        <v>0</v>
      </c>
      <c r="I64" s="3">
        <f t="shared" si="42"/>
        <v>0</v>
      </c>
      <c r="J64" s="12"/>
      <c r="K64" s="8">
        <f t="shared" si="43"/>
        <v>0</v>
      </c>
      <c r="L64" s="3">
        <f t="shared" si="44"/>
        <v>0</v>
      </c>
      <c r="M64" s="12"/>
      <c r="N64" s="8">
        <f t="shared" si="45"/>
        <v>0</v>
      </c>
      <c r="O64" s="3">
        <f t="shared" si="46"/>
        <v>0</v>
      </c>
      <c r="P64" s="12"/>
      <c r="Q64" s="8">
        <f t="shared" si="47"/>
        <v>0</v>
      </c>
      <c r="R64" s="3">
        <f t="shared" si="48"/>
        <v>0</v>
      </c>
      <c r="S64" s="12"/>
      <c r="T64" s="8">
        <f t="shared" si="49"/>
        <v>0</v>
      </c>
      <c r="U64" s="3">
        <f t="shared" si="50"/>
        <v>0</v>
      </c>
    </row>
    <row r="65" spans="1:21" ht="21" x14ac:dyDescent="0.35">
      <c r="A65" s="6">
        <v>8</v>
      </c>
      <c r="B65" s="38">
        <f t="shared" si="38"/>
        <v>651201200</v>
      </c>
      <c r="C65" s="73" t="str">
        <f t="shared" si="38"/>
        <v>นางสาวอุไรวรรณ กองพอด</v>
      </c>
      <c r="D65" s="12"/>
      <c r="E65" s="8">
        <f t="shared" si="39"/>
        <v>0</v>
      </c>
      <c r="F65" s="3">
        <f t="shared" si="40"/>
        <v>0</v>
      </c>
      <c r="G65" s="12"/>
      <c r="H65" s="8">
        <f t="shared" si="41"/>
        <v>0</v>
      </c>
      <c r="I65" s="3">
        <f t="shared" si="42"/>
        <v>0</v>
      </c>
      <c r="J65" s="12"/>
      <c r="K65" s="8">
        <f t="shared" si="43"/>
        <v>0</v>
      </c>
      <c r="L65" s="3">
        <f t="shared" si="44"/>
        <v>0</v>
      </c>
      <c r="M65" s="12"/>
      <c r="N65" s="8">
        <f t="shared" si="45"/>
        <v>0</v>
      </c>
      <c r="O65" s="3">
        <f t="shared" si="46"/>
        <v>0</v>
      </c>
      <c r="P65" s="12"/>
      <c r="Q65" s="8">
        <f t="shared" si="47"/>
        <v>0</v>
      </c>
      <c r="R65" s="3">
        <f t="shared" si="48"/>
        <v>0</v>
      </c>
      <c r="S65" s="12"/>
      <c r="T65" s="8">
        <f t="shared" si="49"/>
        <v>0</v>
      </c>
      <c r="U65" s="3">
        <f t="shared" si="50"/>
        <v>0</v>
      </c>
    </row>
    <row r="66" spans="1:21" ht="21" x14ac:dyDescent="0.35">
      <c r="A66" s="6">
        <v>9</v>
      </c>
      <c r="B66" s="38">
        <f t="shared" si="38"/>
        <v>651201201</v>
      </c>
      <c r="C66" s="73" t="str">
        <f t="shared" si="38"/>
        <v>นางสาวกรรณิการ์ ประกอบแก้ว</v>
      </c>
      <c r="D66" s="12"/>
      <c r="E66" s="8">
        <f t="shared" si="39"/>
        <v>0</v>
      </c>
      <c r="F66" s="3">
        <f t="shared" si="40"/>
        <v>0</v>
      </c>
      <c r="G66" s="12"/>
      <c r="H66" s="8">
        <f t="shared" si="41"/>
        <v>0</v>
      </c>
      <c r="I66" s="3">
        <f t="shared" si="42"/>
        <v>0</v>
      </c>
      <c r="J66" s="12"/>
      <c r="K66" s="8">
        <f t="shared" si="43"/>
        <v>0</v>
      </c>
      <c r="L66" s="3">
        <f t="shared" si="44"/>
        <v>0</v>
      </c>
      <c r="M66" s="12"/>
      <c r="N66" s="8">
        <f t="shared" si="45"/>
        <v>0</v>
      </c>
      <c r="O66" s="3">
        <f t="shared" si="46"/>
        <v>0</v>
      </c>
      <c r="P66" s="12"/>
      <c r="Q66" s="8">
        <f t="shared" si="47"/>
        <v>0</v>
      </c>
      <c r="R66" s="3">
        <f t="shared" si="48"/>
        <v>0</v>
      </c>
      <c r="S66" s="12"/>
      <c r="T66" s="8">
        <f t="shared" si="49"/>
        <v>0</v>
      </c>
      <c r="U66" s="3">
        <f t="shared" si="50"/>
        <v>0</v>
      </c>
    </row>
    <row r="67" spans="1:21" ht="21" x14ac:dyDescent="0.35">
      <c r="A67" s="6">
        <v>10</v>
      </c>
      <c r="B67" s="38">
        <f t="shared" si="38"/>
        <v>0</v>
      </c>
      <c r="C67" s="73">
        <f t="shared" si="38"/>
        <v>0</v>
      </c>
      <c r="D67" s="12"/>
      <c r="E67" s="8">
        <f t="shared" si="39"/>
        <v>0</v>
      </c>
      <c r="F67" s="3">
        <f t="shared" si="40"/>
        <v>0</v>
      </c>
      <c r="G67" s="12"/>
      <c r="H67" s="8">
        <f t="shared" si="41"/>
        <v>0</v>
      </c>
      <c r="I67" s="3">
        <f t="shared" si="42"/>
        <v>0</v>
      </c>
      <c r="J67" s="12"/>
      <c r="K67" s="8">
        <f t="shared" si="43"/>
        <v>0</v>
      </c>
      <c r="L67" s="3">
        <f t="shared" si="44"/>
        <v>0</v>
      </c>
      <c r="M67" s="12"/>
      <c r="N67" s="8">
        <f t="shared" si="45"/>
        <v>0</v>
      </c>
      <c r="O67" s="3">
        <f t="shared" si="46"/>
        <v>0</v>
      </c>
      <c r="P67" s="12"/>
      <c r="Q67" s="8">
        <f t="shared" si="47"/>
        <v>0</v>
      </c>
      <c r="R67" s="3">
        <f t="shared" si="48"/>
        <v>0</v>
      </c>
      <c r="S67" s="12"/>
      <c r="T67" s="8">
        <f t="shared" si="49"/>
        <v>0</v>
      </c>
      <c r="U67" s="3">
        <f t="shared" si="50"/>
        <v>0</v>
      </c>
    </row>
    <row r="68" spans="1:21" ht="21" x14ac:dyDescent="0.35">
      <c r="A68" s="2"/>
      <c r="B68" s="2"/>
      <c r="C68" s="42" t="s">
        <v>13</v>
      </c>
      <c r="D68" s="9" t="e">
        <f>AVERAGE($D$58:$D$67)</f>
        <v>#DIV/0!</v>
      </c>
      <c r="E68" s="1"/>
      <c r="F68" s="1"/>
      <c r="G68" s="9" t="e">
        <f>AVERAGE($G$58:$G$67)</f>
        <v>#DIV/0!</v>
      </c>
      <c r="H68" s="1"/>
      <c r="I68" s="1"/>
      <c r="J68" s="9" t="e">
        <f>AVERAGE($J$58:$J$67)</f>
        <v>#DIV/0!</v>
      </c>
      <c r="K68" s="1"/>
      <c r="L68" s="1"/>
      <c r="M68" s="9" t="e">
        <f>AVERAGE($M$58:$M$67)</f>
        <v>#DIV/0!</v>
      </c>
      <c r="N68" s="1"/>
      <c r="O68" s="1"/>
      <c r="P68" s="9" t="e">
        <f>AVERAGE($P$58:$P$67)</f>
        <v>#DIV/0!</v>
      </c>
      <c r="Q68" s="1"/>
      <c r="R68" s="1"/>
      <c r="S68" s="9" t="e">
        <f>AVERAGE($S$58:$S$67)</f>
        <v>#DIV/0!</v>
      </c>
      <c r="T68" s="1"/>
      <c r="U68" s="1"/>
    </row>
    <row r="69" spans="1:21" ht="21" x14ac:dyDescent="0.35">
      <c r="A69" s="2"/>
      <c r="B69" s="2"/>
      <c r="C69" s="42" t="s">
        <v>14</v>
      </c>
      <c r="D69" s="9" t="e">
        <f>STDEV($D$58:$D$67)</f>
        <v>#DIV/0!</v>
      </c>
      <c r="E69" s="1"/>
      <c r="F69" s="5"/>
      <c r="G69" s="9" t="e">
        <f>STDEV($G$58:$G$67)</f>
        <v>#DIV/0!</v>
      </c>
      <c r="H69" s="1"/>
      <c r="I69" s="1"/>
      <c r="J69" s="9" t="e">
        <f>STDEV($J$58:$J$67)</f>
        <v>#DIV/0!</v>
      </c>
      <c r="K69" s="1"/>
      <c r="L69" s="1"/>
      <c r="M69" s="9" t="e">
        <f>STDEV($M$41:$M$50)</f>
        <v>#DIV/0!</v>
      </c>
      <c r="N69" s="1"/>
      <c r="O69" s="5"/>
      <c r="P69" s="9" t="e">
        <f>STDEV($P$58:$P$67)</f>
        <v>#DIV/0!</v>
      </c>
      <c r="Q69" s="1"/>
      <c r="R69" s="5"/>
      <c r="S69" s="9" t="e">
        <f>STDEV($S$58:$S$67)</f>
        <v>#DIV/0!</v>
      </c>
      <c r="T69" s="1"/>
      <c r="U69" s="1"/>
    </row>
    <row r="70" spans="1:21" ht="21" x14ac:dyDescent="0.35">
      <c r="A70" s="2"/>
      <c r="B70" s="2"/>
      <c r="C70" s="42"/>
      <c r="D70" s="9"/>
      <c r="E70" s="1"/>
      <c r="F70" s="5"/>
      <c r="G70" s="9"/>
      <c r="H70" s="1"/>
      <c r="I70" s="1"/>
      <c r="J70" s="9"/>
      <c r="K70" s="1"/>
      <c r="L70" s="5"/>
      <c r="M70" s="9"/>
      <c r="N70" s="1"/>
      <c r="O70" s="1"/>
      <c r="P70" s="1"/>
      <c r="Q70" s="1"/>
      <c r="R70" s="1"/>
      <c r="S70" s="1"/>
      <c r="T70" s="1"/>
      <c r="U70" s="1"/>
    </row>
    <row r="71" spans="1:21" ht="21" x14ac:dyDescent="0.35">
      <c r="A71" s="2"/>
      <c r="B71" s="2"/>
      <c r="C71" s="42"/>
      <c r="D71" s="9"/>
      <c r="E71" s="1"/>
      <c r="F71" s="5"/>
      <c r="G71" s="9"/>
      <c r="H71" s="1"/>
      <c r="I71" s="1"/>
      <c r="J71" s="9"/>
      <c r="K71" s="1"/>
      <c r="L71" s="5"/>
      <c r="M71" s="9"/>
      <c r="N71" s="1"/>
      <c r="O71" s="1"/>
      <c r="P71" s="1"/>
      <c r="Q71" s="1"/>
      <c r="R71" s="1"/>
      <c r="S71" s="1"/>
      <c r="T71" s="1"/>
      <c r="U71" s="1"/>
    </row>
    <row r="72" spans="1:21" ht="21" x14ac:dyDescent="0.35">
      <c r="A72" s="204" t="s">
        <v>5</v>
      </c>
      <c r="B72" s="204" t="s">
        <v>12</v>
      </c>
      <c r="C72" s="204" t="s">
        <v>0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50"/>
      <c r="T72" s="251"/>
      <c r="U72" s="252"/>
    </row>
    <row r="73" spans="1:21" ht="21" x14ac:dyDescent="0.2">
      <c r="A73" s="204"/>
      <c r="B73" s="204"/>
      <c r="C73" s="204"/>
      <c r="D73" s="44" t="s">
        <v>17</v>
      </c>
      <c r="E73" s="44" t="s">
        <v>6</v>
      </c>
      <c r="F73" s="44" t="s">
        <v>3</v>
      </c>
      <c r="G73" s="44" t="s">
        <v>17</v>
      </c>
      <c r="H73" s="44" t="s">
        <v>6</v>
      </c>
      <c r="I73" s="44" t="s">
        <v>3</v>
      </c>
      <c r="J73" s="44" t="s">
        <v>17</v>
      </c>
      <c r="K73" s="44" t="s">
        <v>6</v>
      </c>
      <c r="L73" s="44" t="s">
        <v>3</v>
      </c>
      <c r="M73" s="44" t="s">
        <v>17</v>
      </c>
      <c r="N73" s="44" t="s">
        <v>6</v>
      </c>
      <c r="O73" s="44" t="s">
        <v>3</v>
      </c>
      <c r="P73" s="44" t="s">
        <v>17</v>
      </c>
      <c r="Q73" s="44" t="s">
        <v>6</v>
      </c>
      <c r="R73" s="44" t="s">
        <v>3</v>
      </c>
      <c r="S73" s="44" t="s">
        <v>17</v>
      </c>
      <c r="T73" s="44" t="s">
        <v>6</v>
      </c>
      <c r="U73" s="44" t="s">
        <v>3</v>
      </c>
    </row>
    <row r="74" spans="1:21" ht="21" x14ac:dyDescent="0.35">
      <c r="A74" s="204"/>
      <c r="B74" s="204"/>
      <c r="C74" s="204"/>
      <c r="D74" s="14"/>
      <c r="E74" s="14"/>
      <c r="F74" s="74">
        <f>$E$74/10</f>
        <v>0</v>
      </c>
      <c r="G74" s="14"/>
      <c r="H74" s="14"/>
      <c r="I74" s="74">
        <f>$H$74/10</f>
        <v>0</v>
      </c>
      <c r="J74" s="14"/>
      <c r="K74" s="14"/>
      <c r="L74" s="74">
        <f>$K$74/10</f>
        <v>0</v>
      </c>
      <c r="M74" s="14"/>
      <c r="N74" s="14"/>
      <c r="O74" s="74">
        <f>$N$74/10</f>
        <v>0</v>
      </c>
      <c r="P74" s="43"/>
      <c r="Q74" s="43"/>
      <c r="R74" s="74">
        <f>$Q$74/10</f>
        <v>0</v>
      </c>
      <c r="S74" s="43"/>
      <c r="T74" s="43"/>
      <c r="U74" s="74">
        <f>$T$74/10</f>
        <v>0</v>
      </c>
    </row>
    <row r="75" spans="1:21" ht="22" x14ac:dyDescent="0.35">
      <c r="A75" s="6">
        <f>A8</f>
        <v>1</v>
      </c>
      <c r="B75" s="38">
        <f>B8</f>
        <v>651201193</v>
      </c>
      <c r="C75" s="39" t="str">
        <f>C8</f>
        <v>นางสาวอรทัย ศรีมันตะ</v>
      </c>
      <c r="D75" s="12"/>
      <c r="E75" s="8">
        <f>IF(D75="-","-",IF(D75=0,0,(D75*E$74)/D$74))</f>
        <v>0</v>
      </c>
      <c r="F75" s="3">
        <f>IF(D75="-","-",IF(D75=0,0,IF(D$86=0,50,(50+(10*(STANDARDIZE(D75,D$85,D$86)))))*F$74))</f>
        <v>0</v>
      </c>
      <c r="G75" s="12"/>
      <c r="H75" s="8">
        <f>IF(G75="-","-",IF(G75=0,0,(G75*H$74)/G$74))</f>
        <v>0</v>
      </c>
      <c r="I75" s="3">
        <f>IF(G75="-","-",IF(G75=0,0,IF($G$86=0,50,(50+(10*(STANDARDIZE(G75,G$85,G$86)))))*I$74))</f>
        <v>0</v>
      </c>
      <c r="J75" s="12"/>
      <c r="K75" s="8">
        <f>IF(J75="-","-",IF(J75=0,0,(J75*K$74)/J$74))</f>
        <v>0</v>
      </c>
      <c r="L75" s="3">
        <f>IF(J75="-","-",IF(J75=0,0,IF(J$86=0,50,(50+(10*(STANDARDIZE(J75,J$85,J$86)))))*L$74))</f>
        <v>0</v>
      </c>
      <c r="M75" s="12"/>
      <c r="N75" s="8">
        <f>IF(M75="-","-",IF(M75=0,0,(M75*N$74)/M$74))</f>
        <v>0</v>
      </c>
      <c r="O75" s="3">
        <f>IF(M75="-","-",IF(M75=0,0,IF(M$86=0,50,(50+(10*(STANDARDIZE(M75,M$85,M$86)))))*O$74))</f>
        <v>0</v>
      </c>
      <c r="P75" s="12"/>
      <c r="Q75" s="8">
        <f>IF(P75="-","-",IF(P75=0,0,(P75*Q$74)/P$74))</f>
        <v>0</v>
      </c>
      <c r="R75" s="3">
        <f>IF(P75="-","-",IF(P75=0,0,IF(P$86=0,50,(50+(10*(STANDARDIZE(P75,P$85,P$86)))))*R$74))</f>
        <v>0</v>
      </c>
      <c r="S75" s="12"/>
      <c r="T75" s="8">
        <f>IF(S75="-","-",IF(S75=0,0,(S75*T$74)/S$74))</f>
        <v>0</v>
      </c>
      <c r="U75" s="3">
        <f>IF(S75="-","-",IF(S75=0,0,IF(S$86=0,50,(50+(10*(STANDARDIZE(S75,S$85,S$86)))))*U$74))</f>
        <v>0</v>
      </c>
    </row>
    <row r="76" spans="1:21" ht="22" x14ac:dyDescent="0.35">
      <c r="A76" s="6">
        <f t="shared" ref="A76:C84" si="51">A9</f>
        <v>2</v>
      </c>
      <c r="B76" s="38">
        <f t="shared" si="51"/>
        <v>651201194</v>
      </c>
      <c r="C76" s="39" t="str">
        <f t="shared" si="51"/>
        <v>นางสาวอริสา จนั ชาดา</v>
      </c>
      <c r="D76" s="12"/>
      <c r="E76" s="8">
        <f t="shared" ref="E76:E84" si="52">IF(D76="-","-",IF(D76=0,0,(D76*E$74)/D$74))</f>
        <v>0</v>
      </c>
      <c r="F76" s="3">
        <f t="shared" ref="F76:F84" si="53">IF(D76="-","-",IF(D76=0,0,IF(D$86=0,50,(50+(10*(STANDARDIZE(D76,D$85,D$86)))))*F$74))</f>
        <v>0</v>
      </c>
      <c r="G76" s="12"/>
      <c r="H76" s="8">
        <f t="shared" ref="H76:H84" si="54">IF(G76="-","-",IF(G76=0,0,(G76*H$74)/G$74))</f>
        <v>0</v>
      </c>
      <c r="I76" s="3">
        <f t="shared" ref="I76:I84" si="55">IF(G76="-","-",IF(G76=0,0,IF($G$86=0,50,(50+(10*(STANDARDIZE(G76,G$85,G$86)))))*I$74))</f>
        <v>0</v>
      </c>
      <c r="J76" s="12"/>
      <c r="K76" s="8">
        <f t="shared" ref="K76:K84" si="56">IF(J76="-","-",IF(J76=0,0,(J76*K$74)/J$74))</f>
        <v>0</v>
      </c>
      <c r="L76" s="3">
        <f t="shared" ref="L76:L84" si="57">IF(J76="-","-",IF(J76=0,0,IF(J$86=0,50,(50+(10*(STANDARDIZE(J76,J$85,J$86)))))*L$74))</f>
        <v>0</v>
      </c>
      <c r="M76" s="12"/>
      <c r="N76" s="8">
        <f t="shared" ref="N76:N84" si="58">IF(M76="-","-",IF(M76=0,0,(M76*N$74)/M$74))</f>
        <v>0</v>
      </c>
      <c r="O76" s="3">
        <f t="shared" ref="O76:O84" si="59">IF(M76="-","-",IF(M76=0,0,IF(M$86=0,50,(50+(10*(STANDARDIZE(M76,M$85,M$86)))))*O$74))</f>
        <v>0</v>
      </c>
      <c r="P76" s="12"/>
      <c r="Q76" s="8">
        <f t="shared" ref="Q76:Q84" si="60">IF(P76="-","-",IF(P76=0,0,(P76*Q$74)/P$74))</f>
        <v>0</v>
      </c>
      <c r="R76" s="3">
        <f t="shared" ref="R76:R84" si="61">IF(P76="-","-",IF(P76=0,0,IF(P$86=0,50,(50+(10*(STANDARDIZE(P76,P$85,P$86)))))*R$74))</f>
        <v>0</v>
      </c>
      <c r="S76" s="12"/>
      <c r="T76" s="8">
        <f t="shared" ref="T76:T84" si="62">IF(S76="-","-",IF(S76=0,0,(S76*T$74)/S$74))</f>
        <v>0</v>
      </c>
      <c r="U76" s="3">
        <f t="shared" ref="U76:U84" si="63">IF(S76="-","-",IF(S76=0,0,IF(S$86=0,50,(50+(10*(STANDARDIZE(S76,S$85,S$86)))))*U$74))</f>
        <v>0</v>
      </c>
    </row>
    <row r="77" spans="1:21" ht="22" x14ac:dyDescent="0.35">
      <c r="A77" s="6">
        <f t="shared" si="51"/>
        <v>3</v>
      </c>
      <c r="B77" s="38">
        <f t="shared" si="51"/>
        <v>651201195</v>
      </c>
      <c r="C77" s="39" t="str">
        <f t="shared" si="51"/>
        <v>นางสาวอริสา ดำรงเชื้อ</v>
      </c>
      <c r="D77" s="12"/>
      <c r="E77" s="8">
        <f t="shared" si="52"/>
        <v>0</v>
      </c>
      <c r="F77" s="3">
        <f t="shared" si="53"/>
        <v>0</v>
      </c>
      <c r="G77" s="12"/>
      <c r="H77" s="8">
        <f t="shared" si="54"/>
        <v>0</v>
      </c>
      <c r="I77" s="3">
        <f t="shared" si="55"/>
        <v>0</v>
      </c>
      <c r="J77" s="12"/>
      <c r="K77" s="8">
        <f t="shared" si="56"/>
        <v>0</v>
      </c>
      <c r="L77" s="3">
        <f t="shared" si="57"/>
        <v>0</v>
      </c>
      <c r="M77" s="12"/>
      <c r="N77" s="8">
        <f t="shared" si="58"/>
        <v>0</v>
      </c>
      <c r="O77" s="3">
        <f t="shared" si="59"/>
        <v>0</v>
      </c>
      <c r="P77" s="12"/>
      <c r="Q77" s="8">
        <f t="shared" si="60"/>
        <v>0</v>
      </c>
      <c r="R77" s="3">
        <f t="shared" si="61"/>
        <v>0</v>
      </c>
      <c r="S77" s="12"/>
      <c r="T77" s="8">
        <f t="shared" si="62"/>
        <v>0</v>
      </c>
      <c r="U77" s="3">
        <f t="shared" si="63"/>
        <v>0</v>
      </c>
    </row>
    <row r="78" spans="1:21" ht="22" x14ac:dyDescent="0.35">
      <c r="A78" s="6">
        <f t="shared" si="51"/>
        <v>4</v>
      </c>
      <c r="B78" s="38">
        <f t="shared" si="51"/>
        <v>651201196</v>
      </c>
      <c r="C78" s="39" t="str">
        <f t="shared" si="51"/>
        <v>นายอัครพนธ์ เจนชัย</v>
      </c>
      <c r="D78" s="12"/>
      <c r="E78" s="8">
        <f t="shared" si="52"/>
        <v>0</v>
      </c>
      <c r="F78" s="3">
        <f t="shared" si="53"/>
        <v>0</v>
      </c>
      <c r="G78" s="12"/>
      <c r="H78" s="8">
        <f t="shared" si="54"/>
        <v>0</v>
      </c>
      <c r="I78" s="3">
        <f t="shared" si="55"/>
        <v>0</v>
      </c>
      <c r="J78" s="12"/>
      <c r="K78" s="8">
        <f t="shared" si="56"/>
        <v>0</v>
      </c>
      <c r="L78" s="3">
        <f t="shared" si="57"/>
        <v>0</v>
      </c>
      <c r="M78" s="12"/>
      <c r="N78" s="8">
        <f t="shared" si="58"/>
        <v>0</v>
      </c>
      <c r="O78" s="3">
        <f t="shared" si="59"/>
        <v>0</v>
      </c>
      <c r="P78" s="12"/>
      <c r="Q78" s="8">
        <f t="shared" si="60"/>
        <v>0</v>
      </c>
      <c r="R78" s="3">
        <f t="shared" si="61"/>
        <v>0</v>
      </c>
      <c r="S78" s="12"/>
      <c r="T78" s="8">
        <f t="shared" si="62"/>
        <v>0</v>
      </c>
      <c r="U78" s="3">
        <f t="shared" si="63"/>
        <v>0</v>
      </c>
    </row>
    <row r="79" spans="1:21" ht="22" x14ac:dyDescent="0.35">
      <c r="A79" s="6">
        <f t="shared" si="51"/>
        <v>5</v>
      </c>
      <c r="B79" s="38">
        <f t="shared" si="51"/>
        <v>651201197</v>
      </c>
      <c r="C79" s="39" t="str">
        <f t="shared" si="51"/>
        <v>นางสาวอัญมณี คำโสภา</v>
      </c>
      <c r="D79" s="12"/>
      <c r="E79" s="8">
        <f t="shared" si="52"/>
        <v>0</v>
      </c>
      <c r="F79" s="3">
        <f t="shared" si="53"/>
        <v>0</v>
      </c>
      <c r="G79" s="12"/>
      <c r="H79" s="8">
        <f t="shared" si="54"/>
        <v>0</v>
      </c>
      <c r="I79" s="3">
        <f t="shared" si="55"/>
        <v>0</v>
      </c>
      <c r="J79" s="12"/>
      <c r="K79" s="8">
        <f t="shared" si="56"/>
        <v>0</v>
      </c>
      <c r="L79" s="3">
        <f t="shared" si="57"/>
        <v>0</v>
      </c>
      <c r="M79" s="12"/>
      <c r="N79" s="8">
        <f t="shared" si="58"/>
        <v>0</v>
      </c>
      <c r="O79" s="3">
        <f t="shared" si="59"/>
        <v>0</v>
      </c>
      <c r="P79" s="12"/>
      <c r="Q79" s="8">
        <f t="shared" si="60"/>
        <v>0</v>
      </c>
      <c r="R79" s="3">
        <f t="shared" si="61"/>
        <v>0</v>
      </c>
      <c r="S79" s="12"/>
      <c r="T79" s="8">
        <f t="shared" si="62"/>
        <v>0</v>
      </c>
      <c r="U79" s="3">
        <f t="shared" si="63"/>
        <v>0</v>
      </c>
    </row>
    <row r="80" spans="1:21" ht="22" x14ac:dyDescent="0.35">
      <c r="A80" s="6">
        <f t="shared" si="51"/>
        <v>6</v>
      </c>
      <c r="B80" s="38">
        <f t="shared" si="51"/>
        <v>651201198</v>
      </c>
      <c r="C80" s="39" t="str">
        <f t="shared" si="51"/>
        <v>นางสาวอาทิตยา วิชัยดิษฐ</v>
      </c>
      <c r="D80" s="12"/>
      <c r="E80" s="8">
        <f t="shared" si="52"/>
        <v>0</v>
      </c>
      <c r="F80" s="3">
        <f t="shared" si="53"/>
        <v>0</v>
      </c>
      <c r="G80" s="12"/>
      <c r="H80" s="8">
        <f t="shared" si="54"/>
        <v>0</v>
      </c>
      <c r="I80" s="3">
        <f t="shared" si="55"/>
        <v>0</v>
      </c>
      <c r="J80" s="12"/>
      <c r="K80" s="8">
        <f t="shared" si="56"/>
        <v>0</v>
      </c>
      <c r="L80" s="3">
        <f t="shared" si="57"/>
        <v>0</v>
      </c>
      <c r="M80" s="12"/>
      <c r="N80" s="8">
        <f t="shared" si="58"/>
        <v>0</v>
      </c>
      <c r="O80" s="3">
        <f t="shared" si="59"/>
        <v>0</v>
      </c>
      <c r="P80" s="12"/>
      <c r="Q80" s="8">
        <f t="shared" si="60"/>
        <v>0</v>
      </c>
      <c r="R80" s="3">
        <f t="shared" si="61"/>
        <v>0</v>
      </c>
      <c r="S80" s="12"/>
      <c r="T80" s="8">
        <f t="shared" si="62"/>
        <v>0</v>
      </c>
      <c r="U80" s="3">
        <f t="shared" si="63"/>
        <v>0</v>
      </c>
    </row>
    <row r="81" spans="1:21" ht="22" x14ac:dyDescent="0.35">
      <c r="A81" s="6">
        <f t="shared" si="51"/>
        <v>7</v>
      </c>
      <c r="B81" s="38">
        <f t="shared" si="51"/>
        <v>651201199</v>
      </c>
      <c r="C81" s="39" t="str">
        <f t="shared" si="51"/>
        <v>นางสาวอาทิตยา ใจสูงเนิน</v>
      </c>
      <c r="D81" s="12"/>
      <c r="E81" s="8">
        <f t="shared" si="52"/>
        <v>0</v>
      </c>
      <c r="F81" s="3">
        <f t="shared" si="53"/>
        <v>0</v>
      </c>
      <c r="G81" s="12"/>
      <c r="H81" s="8">
        <f t="shared" si="54"/>
        <v>0</v>
      </c>
      <c r="I81" s="3">
        <f t="shared" si="55"/>
        <v>0</v>
      </c>
      <c r="J81" s="12"/>
      <c r="K81" s="8">
        <f t="shared" si="56"/>
        <v>0</v>
      </c>
      <c r="L81" s="3">
        <f t="shared" si="57"/>
        <v>0</v>
      </c>
      <c r="M81" s="12"/>
      <c r="N81" s="8">
        <f t="shared" si="58"/>
        <v>0</v>
      </c>
      <c r="O81" s="3">
        <f t="shared" si="59"/>
        <v>0</v>
      </c>
      <c r="P81" s="12"/>
      <c r="Q81" s="8">
        <f t="shared" si="60"/>
        <v>0</v>
      </c>
      <c r="R81" s="3">
        <f t="shared" si="61"/>
        <v>0</v>
      </c>
      <c r="S81" s="12"/>
      <c r="T81" s="8">
        <f t="shared" si="62"/>
        <v>0</v>
      </c>
      <c r="U81" s="3">
        <f t="shared" si="63"/>
        <v>0</v>
      </c>
    </row>
    <row r="82" spans="1:21" ht="21" x14ac:dyDescent="0.35">
      <c r="A82" s="6">
        <f t="shared" si="51"/>
        <v>8</v>
      </c>
      <c r="B82" s="38">
        <f t="shared" si="51"/>
        <v>651201200</v>
      </c>
      <c r="C82" s="39" t="str">
        <f t="shared" si="51"/>
        <v>นางสาวอุไรวรรณ กองพอด</v>
      </c>
      <c r="D82" s="12"/>
      <c r="E82" s="8">
        <f t="shared" si="52"/>
        <v>0</v>
      </c>
      <c r="F82" s="3">
        <f t="shared" si="53"/>
        <v>0</v>
      </c>
      <c r="G82" s="12"/>
      <c r="H82" s="8">
        <f t="shared" si="54"/>
        <v>0</v>
      </c>
      <c r="I82" s="3">
        <f t="shared" si="55"/>
        <v>0</v>
      </c>
      <c r="J82" s="12"/>
      <c r="K82" s="8">
        <f t="shared" si="56"/>
        <v>0</v>
      </c>
      <c r="L82" s="3">
        <f t="shared" si="57"/>
        <v>0</v>
      </c>
      <c r="M82" s="12"/>
      <c r="N82" s="8">
        <f t="shared" si="58"/>
        <v>0</v>
      </c>
      <c r="O82" s="3">
        <f t="shared" si="59"/>
        <v>0</v>
      </c>
      <c r="P82" s="12"/>
      <c r="Q82" s="8">
        <f t="shared" si="60"/>
        <v>0</v>
      </c>
      <c r="R82" s="3">
        <f t="shared" si="61"/>
        <v>0</v>
      </c>
      <c r="S82" s="12"/>
      <c r="T82" s="8">
        <f t="shared" si="62"/>
        <v>0</v>
      </c>
      <c r="U82" s="3">
        <f t="shared" si="63"/>
        <v>0</v>
      </c>
    </row>
    <row r="83" spans="1:21" ht="21" x14ac:dyDescent="0.35">
      <c r="A83" s="6">
        <f t="shared" si="51"/>
        <v>9</v>
      </c>
      <c r="B83" s="38">
        <f t="shared" si="51"/>
        <v>651201201</v>
      </c>
      <c r="C83" s="39" t="str">
        <f t="shared" si="51"/>
        <v>นางสาวกรรณิการ์ ประกอบแก้ว</v>
      </c>
      <c r="D83" s="12"/>
      <c r="E83" s="8">
        <f t="shared" si="52"/>
        <v>0</v>
      </c>
      <c r="F83" s="3">
        <f t="shared" si="53"/>
        <v>0</v>
      </c>
      <c r="G83" s="12"/>
      <c r="H83" s="8">
        <f t="shared" si="54"/>
        <v>0</v>
      </c>
      <c r="I83" s="3">
        <f t="shared" si="55"/>
        <v>0</v>
      </c>
      <c r="J83" s="12"/>
      <c r="K83" s="8">
        <f t="shared" si="56"/>
        <v>0</v>
      </c>
      <c r="L83" s="3">
        <f t="shared" si="57"/>
        <v>0</v>
      </c>
      <c r="M83" s="12"/>
      <c r="N83" s="8">
        <f t="shared" si="58"/>
        <v>0</v>
      </c>
      <c r="O83" s="3">
        <f t="shared" si="59"/>
        <v>0</v>
      </c>
      <c r="P83" s="12"/>
      <c r="Q83" s="8">
        <f t="shared" si="60"/>
        <v>0</v>
      </c>
      <c r="R83" s="3">
        <f t="shared" si="61"/>
        <v>0</v>
      </c>
      <c r="S83" s="12"/>
      <c r="T83" s="8">
        <f t="shared" si="62"/>
        <v>0</v>
      </c>
      <c r="U83" s="3">
        <f t="shared" si="63"/>
        <v>0</v>
      </c>
    </row>
    <row r="84" spans="1:21" ht="21" x14ac:dyDescent="0.35">
      <c r="A84" s="6">
        <f t="shared" si="51"/>
        <v>10</v>
      </c>
      <c r="B84" s="38">
        <f t="shared" si="51"/>
        <v>0</v>
      </c>
      <c r="C84" s="39">
        <f t="shared" si="51"/>
        <v>0</v>
      </c>
      <c r="D84" s="12"/>
      <c r="E84" s="8">
        <f t="shared" si="52"/>
        <v>0</v>
      </c>
      <c r="F84" s="3">
        <f t="shared" si="53"/>
        <v>0</v>
      </c>
      <c r="G84" s="12"/>
      <c r="H84" s="8">
        <f t="shared" si="54"/>
        <v>0</v>
      </c>
      <c r="I84" s="3">
        <f t="shared" si="55"/>
        <v>0</v>
      </c>
      <c r="J84" s="12"/>
      <c r="K84" s="8">
        <f t="shared" si="56"/>
        <v>0</v>
      </c>
      <c r="L84" s="3">
        <f t="shared" si="57"/>
        <v>0</v>
      </c>
      <c r="M84" s="12"/>
      <c r="N84" s="8">
        <f t="shared" si="58"/>
        <v>0</v>
      </c>
      <c r="O84" s="3">
        <f t="shared" si="59"/>
        <v>0</v>
      </c>
      <c r="P84" s="12"/>
      <c r="Q84" s="8">
        <f t="shared" si="60"/>
        <v>0</v>
      </c>
      <c r="R84" s="3">
        <f t="shared" si="61"/>
        <v>0</v>
      </c>
      <c r="S84" s="12"/>
      <c r="T84" s="8">
        <f t="shared" si="62"/>
        <v>0</v>
      </c>
      <c r="U84" s="3">
        <f t="shared" si="63"/>
        <v>0</v>
      </c>
    </row>
    <row r="85" spans="1:21" ht="21" x14ac:dyDescent="0.35">
      <c r="A85" s="2"/>
      <c r="B85" s="2"/>
      <c r="C85" s="42" t="s">
        <v>13</v>
      </c>
      <c r="D85" s="9" t="e">
        <f>AVERAGE($D$75:$D$84)</f>
        <v>#DIV/0!</v>
      </c>
      <c r="E85" s="1"/>
      <c r="F85" s="1"/>
      <c r="G85" s="9" t="e">
        <f>AVERAGE($G$75:$G$84)</f>
        <v>#DIV/0!</v>
      </c>
      <c r="H85" s="1"/>
      <c r="I85" s="1"/>
      <c r="J85" s="9" t="e">
        <f>AVERAGE($J$75:$J$84)</f>
        <v>#DIV/0!</v>
      </c>
      <c r="K85" s="1"/>
      <c r="L85" s="1"/>
      <c r="M85" s="9" t="e">
        <f>AVERAGE($M$75:$M$84)</f>
        <v>#DIV/0!</v>
      </c>
      <c r="N85" s="1"/>
      <c r="O85" s="1"/>
      <c r="P85" s="9" t="e">
        <f>AVERAGE($P$75:$P$84)</f>
        <v>#DIV/0!</v>
      </c>
      <c r="Q85" s="1"/>
      <c r="R85" s="1"/>
      <c r="S85" s="9" t="e">
        <f>AVERAGE($S$75:$S$84)</f>
        <v>#DIV/0!</v>
      </c>
      <c r="T85" s="1"/>
      <c r="U85" s="1"/>
    </row>
    <row r="86" spans="1:21" ht="21" x14ac:dyDescent="0.35">
      <c r="A86" s="2"/>
      <c r="B86" s="2"/>
      <c r="C86" s="42" t="s">
        <v>14</v>
      </c>
      <c r="D86" s="9" t="e">
        <f>STDEV($D$75:$D$84)</f>
        <v>#DIV/0!</v>
      </c>
      <c r="E86" s="1"/>
      <c r="F86" s="5"/>
      <c r="G86" s="9" t="e">
        <f>STDEV($G$75:$G$84)</f>
        <v>#DIV/0!</v>
      </c>
      <c r="H86" s="1"/>
      <c r="I86" s="1"/>
      <c r="J86" s="9" t="e">
        <f>STDEV(J75:J84)</f>
        <v>#DIV/0!</v>
      </c>
      <c r="K86" s="1"/>
      <c r="L86" s="5"/>
      <c r="M86" s="9" t="e">
        <f>STDEV($M$75:$M$84)</f>
        <v>#DIV/0!</v>
      </c>
      <c r="N86" s="1"/>
      <c r="O86" s="1"/>
      <c r="P86" s="9" t="e">
        <f>STDEV(P75:P84)</f>
        <v>#DIV/0!</v>
      </c>
      <c r="Q86" s="1"/>
      <c r="R86" s="1"/>
      <c r="S86" s="9" t="e">
        <f>STDEV($S$75:$S$84)</f>
        <v>#DIV/0!</v>
      </c>
      <c r="T86" s="1"/>
      <c r="U86" s="1"/>
    </row>
    <row r="87" spans="1:21" ht="21" x14ac:dyDescent="0.35">
      <c r="A87" s="2"/>
      <c r="B87" s="2"/>
      <c r="C87" s="42"/>
      <c r="D87" s="9"/>
      <c r="E87" s="1"/>
      <c r="F87" s="5"/>
      <c r="G87" s="9"/>
      <c r="H87" s="1"/>
      <c r="I87" s="1"/>
      <c r="J87" s="9"/>
      <c r="K87" s="1"/>
      <c r="L87" s="5"/>
      <c r="M87" s="9"/>
      <c r="N87" s="1"/>
      <c r="O87" s="1"/>
      <c r="P87" s="1" t="s">
        <v>2</v>
      </c>
      <c r="Q87" s="1"/>
      <c r="R87" s="1"/>
      <c r="S87" s="1"/>
      <c r="T87" s="1"/>
      <c r="U87" s="1"/>
    </row>
    <row r="88" spans="1:21" ht="21" x14ac:dyDescent="0.35">
      <c r="A88" s="2"/>
      <c r="B88" s="2"/>
      <c r="C88" s="42"/>
      <c r="D88" s="9"/>
      <c r="E88" s="1"/>
      <c r="F88" s="5"/>
      <c r="G88" s="9"/>
      <c r="H88" s="1"/>
      <c r="I88" s="1"/>
      <c r="J88" s="9"/>
      <c r="K88" s="1"/>
      <c r="L88" s="5"/>
      <c r="M88" s="9"/>
      <c r="N88" s="1"/>
      <c r="O88" s="1"/>
      <c r="P88" s="1"/>
      <c r="Q88" s="1"/>
      <c r="R88" s="1"/>
      <c r="S88" s="1"/>
      <c r="T88" s="1"/>
      <c r="U88" s="1"/>
    </row>
    <row r="89" spans="1:21" ht="21" x14ac:dyDescent="0.35">
      <c r="A89" s="2"/>
      <c r="B89" s="85" t="s">
        <v>148</v>
      </c>
      <c r="C89" s="42"/>
      <c r="D89" s="9"/>
      <c r="E89" s="1"/>
      <c r="F89" s="5"/>
      <c r="G89" s="9"/>
      <c r="H89" s="1"/>
      <c r="I89" s="1"/>
      <c r="J89" s="9"/>
      <c r="K89" s="1"/>
      <c r="L89" s="5"/>
      <c r="M89" s="9"/>
      <c r="N89" s="1"/>
      <c r="O89" s="1"/>
      <c r="P89" s="9"/>
      <c r="Q89" s="1"/>
      <c r="R89" s="1"/>
      <c r="S89" s="1"/>
      <c r="T89" s="1"/>
      <c r="U89" s="1"/>
    </row>
    <row r="90" spans="1:21" ht="21" x14ac:dyDescent="0.35">
      <c r="A90" s="2"/>
      <c r="B90" s="2"/>
      <c r="C90" s="42"/>
      <c r="D90" s="9"/>
      <c r="E90" s="1"/>
      <c r="F90" s="5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 x14ac:dyDescent="0.35">
      <c r="A91" s="217" t="s">
        <v>76</v>
      </c>
      <c r="B91" s="217" t="s">
        <v>12</v>
      </c>
      <c r="C91" s="217" t="s">
        <v>0</v>
      </c>
      <c r="D91" s="253" t="s">
        <v>1</v>
      </c>
      <c r="E91" s="253"/>
      <c r="F91" s="253"/>
      <c r="G91" s="253"/>
      <c r="H91" s="80"/>
      <c r="I91" s="127" t="s">
        <v>4</v>
      </c>
      <c r="J91" s="127" t="s">
        <v>139</v>
      </c>
      <c r="K91" s="7" t="s">
        <v>146</v>
      </c>
      <c r="L91" s="1"/>
      <c r="M91" s="1"/>
      <c r="N91" s="5"/>
      <c r="O91" s="5"/>
      <c r="P91" s="253" t="s">
        <v>144</v>
      </c>
      <c r="Q91" s="253"/>
      <c r="R91" s="127" t="s">
        <v>141</v>
      </c>
      <c r="S91" s="127" t="s">
        <v>142</v>
      </c>
      <c r="T91" s="127" t="s">
        <v>4</v>
      </c>
      <c r="U91" s="1"/>
    </row>
    <row r="92" spans="1:21" ht="21" x14ac:dyDescent="0.35">
      <c r="A92" s="217"/>
      <c r="B92" s="217"/>
      <c r="C92" s="217"/>
      <c r="D92" s="30" t="str">
        <f>SUM(E7,H7,K7,N7,Q7,T7,E23,H23,K23,N23,Q23,T23,E40,H40,K40,N40,Q40,T40,E57,H57,K57,N57,Q57,T57,E74,H74,K74,N74,Q74,T74)&amp;"%"</f>
        <v>100%</v>
      </c>
      <c r="E92" s="30" t="str">
        <f>SUM(F7,I7,L7,O7,R7,U7,F23,I23,L23,O23,R23,U23,F40,I40,L40,O40,R40,U40,F57,I57,L57,O57,R57,U57,F74,I74,L74,O74,R74,U74)&amp;"T"</f>
        <v>10.5T</v>
      </c>
      <c r="F92" s="254" t="s">
        <v>143</v>
      </c>
      <c r="G92" s="254"/>
      <c r="H92" s="80"/>
      <c r="I92" s="77" t="s">
        <v>8</v>
      </c>
      <c r="J92" s="77">
        <f>COUNTIF($F$93:$G$102,I92)</f>
        <v>3</v>
      </c>
      <c r="K92" s="7">
        <f>ROUND((J92*100)/$J$101,2)</f>
        <v>33.33</v>
      </c>
      <c r="L92" s="1"/>
      <c r="M92" s="1"/>
      <c r="N92" s="5"/>
      <c r="O92" s="5"/>
      <c r="P92" s="255" t="s">
        <v>140</v>
      </c>
      <c r="Q92" s="255"/>
      <c r="R92" s="6">
        <v>85</v>
      </c>
      <c r="S92" s="6">
        <v>100</v>
      </c>
      <c r="T92" s="7" t="s">
        <v>8</v>
      </c>
      <c r="U92" s="1"/>
    </row>
    <row r="93" spans="1:21" ht="21" x14ac:dyDescent="0.35">
      <c r="A93" s="6">
        <f>A8</f>
        <v>1</v>
      </c>
      <c r="B93" s="6">
        <f t="shared" ref="B93:C93" si="64">B8</f>
        <v>651201193</v>
      </c>
      <c r="C93" s="78" t="str">
        <f t="shared" si="64"/>
        <v>นางสาวอรทัย ศรีมันตะ</v>
      </c>
      <c r="D93" s="3">
        <f>ROUND(SUM(E8,H8,K8,N8,Q8,T8,E24,H24,K24,N24,Q24,T24,E41,H41,K41,N41,Q41,T41,E58,H58,K58,N58,Q58,T58,E75,H75,K75,N75,Q75,T75),2)</f>
        <v>82.09</v>
      </c>
      <c r="E93" s="8">
        <f>ROUND(SUM(F8,I8,L8,O8,R8,U8,F24,I24,L24,O24,R24,U24,F41,I41,L41,O41,R41,U41,F58,I58,L58,O58,R58,U58,F75,I75,L75,O75,R75,U75),2)</f>
        <v>479.03</v>
      </c>
      <c r="F93" s="204" t="str">
        <f t="shared" ref="F93:F102" si="65">IF(D93=0,"-",IF(D93&gt;=$R$92,$T$92,IF(D93&gt;=$R$93,$T$93,IF(D93&gt;=$R$94,$T$94,IF(D93&gt;=$R$95,$T$95,IF(D93&gt;=$R$96,$T$96,$T$97))))))</f>
        <v>B+</v>
      </c>
      <c r="G93" s="204"/>
      <c r="H93" s="80"/>
      <c r="I93" s="81" t="s">
        <v>111</v>
      </c>
      <c r="J93" s="77">
        <f t="shared" ref="J93:J100" si="66">COUNTIF($F$93:$G$102,I93)</f>
        <v>5</v>
      </c>
      <c r="K93" s="7">
        <f t="shared" ref="K93:K101" si="67">ROUND((J93*100)/$J$101,2)</f>
        <v>55.56</v>
      </c>
      <c r="L93" s="1"/>
      <c r="M93" s="1"/>
      <c r="N93" s="5"/>
      <c r="O93" s="5"/>
      <c r="P93" s="255" t="s">
        <v>140</v>
      </c>
      <c r="Q93" s="255"/>
      <c r="R93" s="6">
        <v>80</v>
      </c>
      <c r="S93" s="6">
        <v>84</v>
      </c>
      <c r="T93" s="7" t="s">
        <v>111</v>
      </c>
      <c r="U93" s="1"/>
    </row>
    <row r="94" spans="1:21" ht="21" x14ac:dyDescent="0.35">
      <c r="A94" s="6">
        <f t="shared" ref="A94:C102" si="68">A9</f>
        <v>2</v>
      </c>
      <c r="B94" s="6">
        <f t="shared" si="68"/>
        <v>651201194</v>
      </c>
      <c r="C94" s="78" t="str">
        <f t="shared" si="68"/>
        <v>นางสาวอริสา จนั ชาดา</v>
      </c>
      <c r="D94" s="3">
        <f t="shared" ref="D94:E102" si="69">ROUND(SUM(E9,H9,K9,N9,Q9,T9,E25,H25,K25,N25,Q25,T25,E42,H42,K42,N42,Q42,T42,E59,H59,K59,N59,Q59,T59,E76,H76,K76,N76,Q76,T76),2)</f>
        <v>83.91</v>
      </c>
      <c r="E94" s="8">
        <f t="shared" si="69"/>
        <v>512.46</v>
      </c>
      <c r="F94" s="204" t="str">
        <f t="shared" si="65"/>
        <v>B+</v>
      </c>
      <c r="G94" s="204"/>
      <c r="H94" s="80"/>
      <c r="I94" s="77" t="s">
        <v>110</v>
      </c>
      <c r="J94" s="77">
        <f t="shared" si="66"/>
        <v>1</v>
      </c>
      <c r="K94" s="7">
        <f t="shared" si="67"/>
        <v>11.11</v>
      </c>
      <c r="L94" s="1"/>
      <c r="M94" s="1"/>
      <c r="N94" s="5"/>
      <c r="O94" s="5"/>
      <c r="P94" s="255" t="s">
        <v>140</v>
      </c>
      <c r="Q94" s="255"/>
      <c r="R94" s="6">
        <v>75</v>
      </c>
      <c r="S94" s="6">
        <v>79</v>
      </c>
      <c r="T94" s="7" t="s">
        <v>110</v>
      </c>
      <c r="U94" s="1"/>
    </row>
    <row r="95" spans="1:21" ht="21" x14ac:dyDescent="0.35">
      <c r="A95" s="6">
        <f t="shared" si="68"/>
        <v>3</v>
      </c>
      <c r="B95" s="6">
        <f t="shared" si="68"/>
        <v>651201195</v>
      </c>
      <c r="C95" s="78" t="str">
        <f t="shared" si="68"/>
        <v>นางสาวอริสา ดำรงเชื้อ</v>
      </c>
      <c r="D95" s="3">
        <f t="shared" si="69"/>
        <v>80.42</v>
      </c>
      <c r="E95" s="8">
        <f t="shared" si="69"/>
        <v>448.52</v>
      </c>
      <c r="F95" s="204" t="str">
        <f t="shared" si="65"/>
        <v>B+</v>
      </c>
      <c r="G95" s="204"/>
      <c r="H95" s="80"/>
      <c r="I95" s="77" t="s">
        <v>131</v>
      </c>
      <c r="J95" s="77">
        <f t="shared" si="66"/>
        <v>0</v>
      </c>
      <c r="K95" s="7">
        <f t="shared" si="67"/>
        <v>0</v>
      </c>
      <c r="L95" s="1"/>
      <c r="M95" s="1"/>
      <c r="N95" s="5"/>
      <c r="O95" s="5"/>
      <c r="P95" s="255" t="s">
        <v>140</v>
      </c>
      <c r="Q95" s="255"/>
      <c r="R95" s="6">
        <v>70</v>
      </c>
      <c r="S95" s="6">
        <v>74</v>
      </c>
      <c r="T95" s="7" t="s">
        <v>131</v>
      </c>
      <c r="U95" s="1"/>
    </row>
    <row r="96" spans="1:21" ht="21" x14ac:dyDescent="0.35">
      <c r="A96" s="6">
        <f t="shared" si="68"/>
        <v>4</v>
      </c>
      <c r="B96" s="6">
        <f t="shared" si="68"/>
        <v>651201196</v>
      </c>
      <c r="C96" s="78" t="str">
        <f t="shared" si="68"/>
        <v>นายอัครพนธ์ เจนชัย</v>
      </c>
      <c r="D96" s="3">
        <f t="shared" si="69"/>
        <v>78.78</v>
      </c>
      <c r="E96" s="8">
        <f t="shared" si="69"/>
        <v>408.98</v>
      </c>
      <c r="F96" s="204" t="str">
        <f t="shared" si="65"/>
        <v>B</v>
      </c>
      <c r="G96" s="204"/>
      <c r="H96" s="80"/>
      <c r="I96" s="77" t="s">
        <v>132</v>
      </c>
      <c r="J96" s="77">
        <f t="shared" si="66"/>
        <v>0</v>
      </c>
      <c r="K96" s="7">
        <f t="shared" si="67"/>
        <v>0</v>
      </c>
      <c r="L96" s="1"/>
      <c r="M96" s="1"/>
      <c r="N96" s="5"/>
      <c r="O96" s="5"/>
      <c r="P96" s="255" t="s">
        <v>140</v>
      </c>
      <c r="Q96" s="255"/>
      <c r="R96" s="6">
        <v>65</v>
      </c>
      <c r="S96" s="6">
        <v>69</v>
      </c>
      <c r="T96" s="7" t="s">
        <v>132</v>
      </c>
      <c r="U96" s="1"/>
    </row>
    <row r="97" spans="1:21" ht="21" x14ac:dyDescent="0.35">
      <c r="A97" s="6">
        <f t="shared" si="68"/>
        <v>5</v>
      </c>
      <c r="B97" s="6">
        <f t="shared" si="68"/>
        <v>651201197</v>
      </c>
      <c r="C97" s="78" t="str">
        <f t="shared" si="68"/>
        <v>นางสาวอัญมณี คำโสภา</v>
      </c>
      <c r="D97" s="3">
        <f t="shared" si="69"/>
        <v>83.44</v>
      </c>
      <c r="E97" s="8">
        <f t="shared" si="69"/>
        <v>506.72</v>
      </c>
      <c r="F97" s="204" t="str">
        <f t="shared" si="65"/>
        <v>B+</v>
      </c>
      <c r="G97" s="204"/>
      <c r="H97" s="80"/>
      <c r="I97" s="77" t="s">
        <v>133</v>
      </c>
      <c r="J97" s="77">
        <f t="shared" si="66"/>
        <v>0</v>
      </c>
      <c r="K97" s="7">
        <f t="shared" si="67"/>
        <v>0</v>
      </c>
      <c r="L97" s="1"/>
      <c r="M97" s="1"/>
      <c r="N97" s="5"/>
      <c r="O97" s="5"/>
      <c r="P97" s="255" t="s">
        <v>140</v>
      </c>
      <c r="Q97" s="255"/>
      <c r="R97" s="6">
        <v>0</v>
      </c>
      <c r="S97" s="6">
        <v>64</v>
      </c>
      <c r="T97" s="7" t="s">
        <v>135</v>
      </c>
      <c r="U97" s="1"/>
    </row>
    <row r="98" spans="1:21" ht="21" x14ac:dyDescent="0.35">
      <c r="A98" s="6">
        <f t="shared" si="68"/>
        <v>6</v>
      </c>
      <c r="B98" s="6">
        <f t="shared" si="68"/>
        <v>651201198</v>
      </c>
      <c r="C98" s="78" t="str">
        <f t="shared" si="68"/>
        <v>นางสาวอาทิตยา วิชัยดิษฐ</v>
      </c>
      <c r="D98" s="3">
        <f t="shared" si="69"/>
        <v>89.79</v>
      </c>
      <c r="E98" s="8">
        <f t="shared" si="69"/>
        <v>629.41999999999996</v>
      </c>
      <c r="F98" s="204" t="str">
        <f t="shared" si="65"/>
        <v>A</v>
      </c>
      <c r="G98" s="204"/>
      <c r="H98" s="80"/>
      <c r="I98" s="82" t="s">
        <v>134</v>
      </c>
      <c r="J98" s="77">
        <f t="shared" si="66"/>
        <v>0</v>
      </c>
      <c r="K98" s="7">
        <f t="shared" si="67"/>
        <v>0</v>
      </c>
      <c r="L98" s="5"/>
      <c r="M98" s="5"/>
      <c r="N98" s="5"/>
      <c r="O98" s="5"/>
      <c r="P98" s="5"/>
      <c r="Q98" s="5"/>
      <c r="R98" s="5"/>
      <c r="S98" s="1"/>
      <c r="T98" s="1"/>
      <c r="U98" s="1"/>
    </row>
    <row r="99" spans="1:21" ht="21" x14ac:dyDescent="0.35">
      <c r="A99" s="6">
        <f t="shared" si="68"/>
        <v>7</v>
      </c>
      <c r="B99" s="6">
        <f t="shared" si="68"/>
        <v>651201199</v>
      </c>
      <c r="C99" s="78" t="str">
        <f t="shared" si="68"/>
        <v>นางสาวอาทิตยา ใจสูงเนิน</v>
      </c>
      <c r="D99" s="3">
        <f t="shared" si="69"/>
        <v>84.7</v>
      </c>
      <c r="E99" s="8">
        <f t="shared" si="69"/>
        <v>542.04</v>
      </c>
      <c r="F99" s="204" t="str">
        <f t="shared" si="65"/>
        <v>B+</v>
      </c>
      <c r="G99" s="204"/>
      <c r="H99" s="80"/>
      <c r="I99" s="82" t="s">
        <v>135</v>
      </c>
      <c r="J99" s="77">
        <f t="shared" si="66"/>
        <v>0</v>
      </c>
      <c r="K99" s="7">
        <f t="shared" si="67"/>
        <v>0</v>
      </c>
      <c r="L99" s="5"/>
      <c r="M99" s="5"/>
      <c r="N99" s="5"/>
      <c r="O99" s="5"/>
      <c r="P99" s="5"/>
      <c r="Q99" s="5"/>
      <c r="R99" s="5"/>
      <c r="S99" s="1"/>
      <c r="T99" s="1"/>
      <c r="U99" s="1"/>
    </row>
    <row r="100" spans="1:21" ht="21" x14ac:dyDescent="0.35">
      <c r="A100" s="6">
        <f t="shared" si="68"/>
        <v>8</v>
      </c>
      <c r="B100" s="6">
        <f t="shared" si="68"/>
        <v>651201200</v>
      </c>
      <c r="C100" s="78" t="str">
        <f t="shared" si="68"/>
        <v>นางสาวอุไรวรรณ กองพอด</v>
      </c>
      <c r="D100" s="3">
        <f t="shared" si="69"/>
        <v>87.25</v>
      </c>
      <c r="E100" s="8">
        <f t="shared" si="69"/>
        <v>597.11</v>
      </c>
      <c r="F100" s="204" t="str">
        <f t="shared" si="65"/>
        <v>A</v>
      </c>
      <c r="G100" s="204"/>
      <c r="H100" s="80"/>
      <c r="I100" s="82" t="s">
        <v>145</v>
      </c>
      <c r="J100" s="77">
        <f t="shared" si="66"/>
        <v>0</v>
      </c>
      <c r="K100" s="7">
        <f t="shared" si="67"/>
        <v>0</v>
      </c>
      <c r="L100" s="5"/>
      <c r="M100" s="5"/>
      <c r="N100" s="5"/>
      <c r="O100" s="5"/>
      <c r="P100" s="5"/>
      <c r="Q100" s="5"/>
      <c r="R100" s="5"/>
      <c r="S100" s="1"/>
      <c r="T100" s="1"/>
      <c r="U100" s="1"/>
    </row>
    <row r="101" spans="1:21" ht="21" x14ac:dyDescent="0.35">
      <c r="A101" s="6">
        <f t="shared" si="68"/>
        <v>9</v>
      </c>
      <c r="B101" s="6">
        <f t="shared" si="68"/>
        <v>651201201</v>
      </c>
      <c r="C101" s="78" t="str">
        <f t="shared" si="68"/>
        <v>นางสาวกรรณิการ์ ประกอบแก้ว</v>
      </c>
      <c r="D101" s="3">
        <f t="shared" si="69"/>
        <v>88.36</v>
      </c>
      <c r="E101" s="8">
        <f t="shared" si="69"/>
        <v>585.80999999999995</v>
      </c>
      <c r="F101" s="204" t="str">
        <f t="shared" si="65"/>
        <v>A</v>
      </c>
      <c r="G101" s="204"/>
      <c r="H101" s="80"/>
      <c r="I101" s="83" t="s">
        <v>1</v>
      </c>
      <c r="J101" s="83">
        <f>SUM(J92:J100)</f>
        <v>9</v>
      </c>
      <c r="K101" s="84">
        <f t="shared" si="67"/>
        <v>100</v>
      </c>
      <c r="L101" s="5"/>
      <c r="M101" s="5"/>
      <c r="N101" s="5"/>
      <c r="O101" s="5"/>
      <c r="P101" s="5"/>
      <c r="Q101" s="5"/>
      <c r="R101" s="5"/>
      <c r="S101" s="1"/>
      <c r="T101" s="1"/>
      <c r="U101" s="1"/>
    </row>
    <row r="102" spans="1:21" ht="21" x14ac:dyDescent="0.35">
      <c r="A102" s="6">
        <f t="shared" si="68"/>
        <v>10</v>
      </c>
      <c r="B102" s="6">
        <f t="shared" si="68"/>
        <v>0</v>
      </c>
      <c r="C102" s="78">
        <f t="shared" si="68"/>
        <v>0</v>
      </c>
      <c r="D102" s="3">
        <f t="shared" si="69"/>
        <v>0</v>
      </c>
      <c r="E102" s="8" t="str">
        <f>IF(D102=0,"-",ROUND(SUM(F17,I17,L17,O17,R17,U17,F33,I33,L33,O33,R33,U33,F50,I50,L50,O50,R50,U50,F67,I67,L67,O67,R67,U67,F84,I84,L84,O84,R84,U84),2))</f>
        <v>-</v>
      </c>
      <c r="F102" s="204" t="str">
        <f t="shared" si="65"/>
        <v>-</v>
      </c>
      <c r="G102" s="204"/>
      <c r="H102" s="80"/>
      <c r="I102" s="8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 x14ac:dyDescent="0.35">
      <c r="A103" s="2"/>
      <c r="B103" s="2"/>
      <c r="C103" s="79"/>
      <c r="D103" s="19"/>
      <c r="E103" s="19"/>
      <c r="F103" s="42"/>
      <c r="G103" s="42"/>
      <c r="H103" s="42"/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 x14ac:dyDescent="0.35">
      <c r="A104" s="2"/>
      <c r="B104" s="2"/>
      <c r="C104" s="2"/>
      <c r="D104" s="1"/>
      <c r="E104" s="1"/>
      <c r="F104" s="1"/>
      <c r="G104" s="1"/>
      <c r="H104" s="1"/>
      <c r="I104" s="45"/>
      <c r="J104" s="4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 x14ac:dyDescent="0.35">
      <c r="A105" s="2"/>
      <c r="B105" s="85" t="s">
        <v>147</v>
      </c>
      <c r="C105" s="2"/>
      <c r="D105" s="1"/>
      <c r="E105" s="1"/>
      <c r="F105" s="1"/>
      <c r="G105" s="1"/>
      <c r="H105" s="1"/>
      <c r="I105" s="45"/>
      <c r="J105" s="45"/>
      <c r="K105" s="45"/>
      <c r="L105" s="1" t="s">
        <v>2</v>
      </c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2" thickBot="1" x14ac:dyDescent="0.4">
      <c r="A106" s="217" t="s">
        <v>76</v>
      </c>
      <c r="B106" s="217" t="s">
        <v>12</v>
      </c>
      <c r="C106" s="217" t="s">
        <v>0</v>
      </c>
      <c r="D106" s="257" t="s">
        <v>1</v>
      </c>
      <c r="E106" s="258"/>
      <c r="F106" s="254" t="s">
        <v>149</v>
      </c>
      <c r="G106" s="254"/>
      <c r="H106" s="1"/>
      <c r="I106" s="5" t="s">
        <v>38</v>
      </c>
      <c r="J106" s="9"/>
      <c r="K106" s="1"/>
      <c r="L106" s="5"/>
      <c r="M106" s="1"/>
      <c r="N106" s="1"/>
      <c r="O106" s="5" t="s">
        <v>39</v>
      </c>
      <c r="P106" s="1"/>
      <c r="Q106" s="9"/>
      <c r="R106" s="1"/>
      <c r="S106" s="1"/>
      <c r="T106" s="1"/>
      <c r="U106" s="1"/>
    </row>
    <row r="107" spans="1:21" ht="22" thickBot="1" x14ac:dyDescent="0.4">
      <c r="A107" s="217"/>
      <c r="B107" s="217"/>
      <c r="C107" s="217"/>
      <c r="D107" s="30" t="str">
        <f>SUM(E7,H7,K7,N7,Q7,T7,E23,H23,K23,N23,Q23,T23,E40,H40,K40,N40,Q40,T40,E57,H57,K57,N57,Q57,T57,E74,H74,K74,N74,Q74,T74)&amp;"%"</f>
        <v>100%</v>
      </c>
      <c r="E107" s="30" t="str">
        <f>SUM(F7,I7,L7,O7,R7,U7,F23,I23,L23,O23,R23,U23,F40,I40,L40,O40,R40,U40,F57,I57,L57,O57,R57,U57,F74,I74,L74,O74,R74,U74)&amp;"T"</f>
        <v>10.5T</v>
      </c>
      <c r="F107" s="126" t="s">
        <v>152</v>
      </c>
      <c r="G107" s="126" t="s">
        <v>153</v>
      </c>
      <c r="H107" s="1"/>
      <c r="I107" s="25" t="s">
        <v>15</v>
      </c>
      <c r="J107" s="25" t="s">
        <v>16</v>
      </c>
      <c r="K107" s="86" t="s">
        <v>9</v>
      </c>
      <c r="L107" s="25" t="s">
        <v>4</v>
      </c>
      <c r="M107" s="25" t="s">
        <v>1</v>
      </c>
      <c r="N107" s="1"/>
      <c r="O107" s="25" t="s">
        <v>15</v>
      </c>
      <c r="P107" s="29"/>
      <c r="Q107" s="25" t="s">
        <v>16</v>
      </c>
      <c r="R107" s="86" t="s">
        <v>9</v>
      </c>
      <c r="S107" s="25" t="s">
        <v>4</v>
      </c>
      <c r="T107" s="25" t="s">
        <v>1</v>
      </c>
      <c r="U107" s="1"/>
    </row>
    <row r="108" spans="1:21" ht="21" x14ac:dyDescent="0.35">
      <c r="A108" s="6">
        <f>A8</f>
        <v>1</v>
      </c>
      <c r="B108" s="6">
        <f t="shared" ref="B108:C108" si="70">B8</f>
        <v>651201193</v>
      </c>
      <c r="C108" s="78" t="str">
        <f t="shared" si="70"/>
        <v>นางสาวอรทัย ศรีมันตะ</v>
      </c>
      <c r="D108" s="3">
        <f>ROUND(SUM(E8,H8,K8,N8,Q8,T8,E24,H24,K24,N24,Q24,T24,E41,H41,K41,N41,Q41,T41,E58,H58,K58,N58,Q58,T58,E75,H75,K75,N75,Q75,T75),2)</f>
        <v>82.09</v>
      </c>
      <c r="E108" s="3">
        <f>ROUND(SUM(F8,I8,L8,O8,R8,U8,F24,I24,L24,O24,R24,U24,F41,I41,L41,O41,R41,U41,F58,I58,L58,O58,R58,U58,F75,I75,L75,O75,R75,U75),2)</f>
        <v>479.03</v>
      </c>
      <c r="F108" s="7" t="str">
        <f>IF($I$111="-","-",IF(E108="-","-",IF(E108&gt;=$I$108,$L$108,IF(E108&gt;=$I$109,$L$109,IF(E108&gt;=$I$110,$L$110,IF(E108&gt;=$I$111,$L$111,IF(E108&gt;=$I$112,$L$112,IF(E108&gt;=$I$113,$L$113,IF(E108&gt;=$I$114,$L$114,IF(E108&gt;=$I$115,$L$115,"I/E"))))))))))</f>
        <v>B</v>
      </c>
      <c r="G108" s="7" t="str">
        <f>IF($P$111="-","-",IF(E108="-","-",IF(E108&gt;=$O$108,$S$108,IF(E108&gt;=$O$109,$S$109,IF(E108&gt;=$O$110,$S$110,IF(E108&gt;=$O$111,$S$111,IF(E108&gt;=$O$112,$S$112,IF(E108&gt;=$O$113,$S$113,IF(E108&gt;=$O$114,$S$114,"I/E")))))))))</f>
        <v>-</v>
      </c>
      <c r="H108" s="1"/>
      <c r="I108" s="87" t="str">
        <f>IF(OR($E$128=8),$J$109+0.01,"-")</f>
        <v>-</v>
      </c>
      <c r="J108" s="87" t="str">
        <f>IF(OR($E$128=8),$I$108+$E$129,"-")</f>
        <v>-</v>
      </c>
      <c r="K108" s="90" t="e">
        <f>J108-I108</f>
        <v>#VALUE!</v>
      </c>
      <c r="L108" s="27" t="str">
        <f>IF($E$128=8,$C$124,"-")</f>
        <v>-</v>
      </c>
      <c r="M108" s="27" t="str">
        <f>IF(L108="-","-",COUNTIF($F$108:$F$117,L108))</f>
        <v>-</v>
      </c>
      <c r="N108" s="1"/>
      <c r="O108" s="8" t="str">
        <f>IF(OR($E$128=7),$Q$109+0.01,"-")</f>
        <v>-</v>
      </c>
      <c r="P108" s="28"/>
      <c r="Q108" s="8" t="str">
        <f>IF(OR($E$128=7),$O$108+$E$129,"-")</f>
        <v>-</v>
      </c>
      <c r="R108" s="91" t="e">
        <f t="shared" ref="R108:R110" si="71">Q108-O108</f>
        <v>#VALUE!</v>
      </c>
      <c r="S108" s="7" t="str">
        <f>IF($E$128=7,$C$124,"-")</f>
        <v>-</v>
      </c>
      <c r="T108" s="27" t="str">
        <f>IF(S108="-","-",COUNTIF($G$108:$G$117,S108))</f>
        <v>-</v>
      </c>
      <c r="U108" s="1"/>
    </row>
    <row r="109" spans="1:21" ht="21" x14ac:dyDescent="0.35">
      <c r="A109" s="6">
        <f t="shared" ref="A109:C117" si="72">A9</f>
        <v>2</v>
      </c>
      <c r="B109" s="6">
        <f t="shared" si="72"/>
        <v>651201194</v>
      </c>
      <c r="C109" s="78" t="str">
        <f t="shared" si="72"/>
        <v>นางสาวอริสา จนั ชาดา</v>
      </c>
      <c r="D109" s="3">
        <f t="shared" ref="D109:E117" si="73">ROUND(SUM(E9,H9,K9,N9,Q9,T9,E25,H25,K25,N25,Q25,T25,E42,H42,K42,N42,Q42,T42,E59,H59,K59,N59,Q59,T59,E76,H76,K76,N76,Q76,T76),2)</f>
        <v>83.91</v>
      </c>
      <c r="E109" s="3">
        <f t="shared" si="73"/>
        <v>512.46</v>
      </c>
      <c r="F109" s="7" t="str">
        <f t="shared" ref="F109:F117" si="74">IF($I$111="-","-",IF(E109="-","-",IF(E109&gt;=$I$108,$L$108,IF(E109&gt;=$I$109,$L$109,IF(E109&gt;=$I$110,$L$110,IF(E109&gt;=$I$111,$L$111,IF(E109&gt;=$I$112,$L$112,IF(E109&gt;=$I$113,$L$113,IF(E109&gt;=$I$114,$L$114,IF(E109&gt;=$I$115,$L$115,"I/E"))))))))))</f>
        <v>B</v>
      </c>
      <c r="G109" s="7" t="str">
        <f t="shared" ref="G109:G117" si="75">IF($P$111="-","-",IF(E109="-","-",IF(E109&gt;=$O$108,$S$108,IF(E109&gt;=$O$109,$S$109,IF(E109&gt;=$O$110,$S$110,IF(E109&gt;=$O$111,$S$111,IF(E109&gt;=$O$112,$S$112,IF(E109&gt;=$O$113,$S$113,IF(E109&gt;=$O$114,$S$114,"I/E")))))))))</f>
        <v>-</v>
      </c>
      <c r="H109" s="1"/>
      <c r="I109" s="61" t="str">
        <f>IF(OR($E$128=8,$E$128=6),$J$110+0.01,"-")</f>
        <v>-</v>
      </c>
      <c r="J109" s="61" t="str">
        <f>IF(OR($E$128=8,$E$128=6),$I$109+$E$129,"-")</f>
        <v>-</v>
      </c>
      <c r="K109" s="91" t="e">
        <f t="shared" ref="K109:K115" si="76">J109-I109</f>
        <v>#VALUE!</v>
      </c>
      <c r="L109" s="7" t="str">
        <f>IF($E$128=8,$C$125,IF($E$128=6,$C$124,"-"))</f>
        <v>-</v>
      </c>
      <c r="M109" s="27" t="str">
        <f t="shared" ref="M109:M115" si="77">IF(L109="-","-",COUNTIF($F$108:$F$117,L109))</f>
        <v>-</v>
      </c>
      <c r="N109" s="1"/>
      <c r="O109" s="8" t="str">
        <f>IF(OR($E$128=5,$E$128=7),$Q$110+0.01,"-")</f>
        <v>-</v>
      </c>
      <c r="P109" s="13"/>
      <c r="Q109" s="8" t="str">
        <f>IF(OR($E$128=5,$E$128=7),$O$109+$E$129,"-")</f>
        <v>-</v>
      </c>
      <c r="R109" s="91" t="e">
        <f t="shared" si="71"/>
        <v>#VALUE!</v>
      </c>
      <c r="S109" s="7" t="str">
        <f>IF($E$128=7,$C$125,IF($E$128=5,$C$124,"-"))</f>
        <v>-</v>
      </c>
      <c r="T109" s="27" t="str">
        <f t="shared" ref="T109:T114" si="78">IF(S109="-","-",COUNTIF($G$108:$G$117,S109))</f>
        <v>-</v>
      </c>
      <c r="U109" s="1"/>
    </row>
    <row r="110" spans="1:21" ht="21" x14ac:dyDescent="0.35">
      <c r="A110" s="6">
        <f t="shared" si="72"/>
        <v>3</v>
      </c>
      <c r="B110" s="6">
        <f t="shared" si="72"/>
        <v>651201195</v>
      </c>
      <c r="C110" s="78" t="str">
        <f t="shared" si="72"/>
        <v>นางสาวอริสา ดำรงเชื้อ</v>
      </c>
      <c r="D110" s="3">
        <f t="shared" si="73"/>
        <v>80.42</v>
      </c>
      <c r="E110" s="3">
        <f t="shared" si="73"/>
        <v>448.52</v>
      </c>
      <c r="F110" s="7" t="str">
        <f t="shared" si="74"/>
        <v>C+</v>
      </c>
      <c r="G110" s="7" t="str">
        <f t="shared" si="75"/>
        <v>-</v>
      </c>
      <c r="H110" s="1"/>
      <c r="I110" s="47">
        <f>IF(OR($E$128=8,$E$128=6,$E$128=4),$J$111+0.01,"-")</f>
        <v>578.46</v>
      </c>
      <c r="J110" s="47">
        <f>IF(OR($E$128=8,$E$128=6,$E$128=4),$I$110+$E$129,"-")</f>
        <v>633.57000000000005</v>
      </c>
      <c r="K110" s="91">
        <f t="shared" si="76"/>
        <v>55.110000000000014</v>
      </c>
      <c r="L110" s="7" t="str">
        <f>IF($E$128=8,$C$126,IF($E$128=6,$C$125,IF($E$128=4,$C$124,"-")))</f>
        <v>A</v>
      </c>
      <c r="M110" s="27">
        <f t="shared" si="77"/>
        <v>3</v>
      </c>
      <c r="N110" s="1"/>
      <c r="O110" s="8" t="str">
        <f>IF(OR($E$128=3,$E$128=5,$E$128=7),Q111+0.01,"-")</f>
        <v>-</v>
      </c>
      <c r="P110" s="13"/>
      <c r="Q110" s="8" t="str">
        <f>IF(OR($E$128=3,$E$128=5,$E$128=7),$O$110+$E$129,"-")</f>
        <v>-</v>
      </c>
      <c r="R110" s="91" t="e">
        <f t="shared" si="71"/>
        <v>#VALUE!</v>
      </c>
      <c r="S110" s="7" t="str">
        <f>IF($E$128=7,$C$126,IF($E$128=5,$C$125,IF($E$128=3,$C$124,"-")))</f>
        <v>-</v>
      </c>
      <c r="T110" s="27" t="str">
        <f t="shared" si="78"/>
        <v>-</v>
      </c>
      <c r="U110" s="1"/>
    </row>
    <row r="111" spans="1:21" ht="21" x14ac:dyDescent="0.35">
      <c r="A111" s="6">
        <f t="shared" si="72"/>
        <v>4</v>
      </c>
      <c r="B111" s="6">
        <f t="shared" si="72"/>
        <v>651201196</v>
      </c>
      <c r="C111" s="78" t="str">
        <f t="shared" si="72"/>
        <v>นายอัครพนธ์ เจนชัย</v>
      </c>
      <c r="D111" s="3">
        <f t="shared" si="73"/>
        <v>78.78</v>
      </c>
      <c r="E111" s="3">
        <f t="shared" si="73"/>
        <v>408.98</v>
      </c>
      <c r="F111" s="7" t="str">
        <f t="shared" si="74"/>
        <v>I/E</v>
      </c>
      <c r="G111" s="7" t="str">
        <f t="shared" si="75"/>
        <v>-</v>
      </c>
      <c r="H111" s="1"/>
      <c r="I111" s="88">
        <f>IF(OR($E$128=2,$E$128=4,$E$128=6,$E$128=8),$E$124,"-")</f>
        <v>523.34</v>
      </c>
      <c r="J111" s="61">
        <f>IF(OR($E$128=2,$E$128=4,$E$128=6,$E$128=8),$E$124+E129,"-")</f>
        <v>578.45000000000005</v>
      </c>
      <c r="K111" s="91">
        <f t="shared" si="76"/>
        <v>55.110000000000014</v>
      </c>
      <c r="L111" s="7" t="str">
        <f>IF($E$128=8,$C$127,IF($E$128=6,$C$126,IF($E$128=4,$C$125,IF($E$128=2,$C$124,"-"))))</f>
        <v>B+</v>
      </c>
      <c r="M111" s="27">
        <f t="shared" si="77"/>
        <v>1</v>
      </c>
      <c r="N111" s="1"/>
      <c r="O111" s="8" t="str">
        <f>IF(OR($E$128=1,$E$128=3,$E$128=5,$E$128=7),$P$111-($E$129/2),"-")</f>
        <v>-</v>
      </c>
      <c r="P111" s="31" t="str">
        <f>IF(OR($E$128=1,$E$128=3,$E$128=5,$E$128=7),$E$124,"-")</f>
        <v>-</v>
      </c>
      <c r="Q111" s="8" t="str">
        <f>IF(OR($E$128=1,$E$128=3,$E$128=5,$E$128=7),$P$111+$E$129/2,"-")</f>
        <v>-</v>
      </c>
      <c r="R111" s="91" t="e">
        <f>Q111-O111</f>
        <v>#VALUE!</v>
      </c>
      <c r="S111" s="7" t="str">
        <f>IF($E$128=7,$C$127,IF($E$128=5,$C$126,IF($E$128=3,$C$125,IF($E$128=1,$C$124,"-"))))</f>
        <v>-</v>
      </c>
      <c r="T111" s="27" t="str">
        <f t="shared" si="78"/>
        <v>-</v>
      </c>
      <c r="U111" s="1"/>
    </row>
    <row r="112" spans="1:21" ht="21" x14ac:dyDescent="0.35">
      <c r="A112" s="6">
        <f t="shared" si="72"/>
        <v>5</v>
      </c>
      <c r="B112" s="6">
        <f t="shared" si="72"/>
        <v>651201197</v>
      </c>
      <c r="C112" s="78" t="str">
        <f t="shared" si="72"/>
        <v>นางสาวอัญมณี คำโสภา</v>
      </c>
      <c r="D112" s="3">
        <f t="shared" si="73"/>
        <v>83.44</v>
      </c>
      <c r="E112" s="3">
        <f t="shared" si="73"/>
        <v>506.72</v>
      </c>
      <c r="F112" s="7" t="str">
        <f t="shared" si="74"/>
        <v>B</v>
      </c>
      <c r="G112" s="7" t="str">
        <f t="shared" si="75"/>
        <v>-</v>
      </c>
      <c r="H112" s="1"/>
      <c r="I112" s="47">
        <f>IF(OR($E$128=2,$E$128=4,$E$128=6,$E$128=8),$J$112-$E$129,"-")</f>
        <v>468.22</v>
      </c>
      <c r="J112" s="61">
        <f>IF(OR($E$128=2,$E$128=4,$E$128=6,$E$128=8),$E$124-0.01,"-")</f>
        <v>523.33000000000004</v>
      </c>
      <c r="K112" s="91">
        <f t="shared" si="76"/>
        <v>55.110000000000014</v>
      </c>
      <c r="L112" s="7" t="str">
        <f>IF($E$128=8,$C$128,IF($E$128=6,$C$127,IF($E$128=4,$C$126,IF($E$128=2,$C$125,"-"))))</f>
        <v>B</v>
      </c>
      <c r="M112" s="27">
        <f t="shared" si="77"/>
        <v>3</v>
      </c>
      <c r="N112" s="1"/>
      <c r="O112" s="8" t="str">
        <f>IF(OR($E$128=3,$E$128=5,$E$128=7),$Q$112-$E$129,"-")</f>
        <v>-</v>
      </c>
      <c r="P112" s="13"/>
      <c r="Q112" s="8" t="str">
        <f>IF(OR($E$128=3,$E$128=5,$E$128=7),$O$111-0.01,"-")</f>
        <v>-</v>
      </c>
      <c r="R112" s="91" t="e">
        <f t="shared" ref="R112:R114" si="79">Q112-O112</f>
        <v>#VALUE!</v>
      </c>
      <c r="S112" s="7" t="str">
        <f>IF($E$128=7,$C$128,IF($E$128=5,$C$127,IF($E$128=3,$C$126,"-")))</f>
        <v>-</v>
      </c>
      <c r="T112" s="27" t="str">
        <f t="shared" si="78"/>
        <v>-</v>
      </c>
      <c r="U112" s="1"/>
    </row>
    <row r="113" spans="1:21" ht="21" x14ac:dyDescent="0.35">
      <c r="A113" s="6">
        <f t="shared" si="72"/>
        <v>6</v>
      </c>
      <c r="B113" s="6">
        <f t="shared" si="72"/>
        <v>651201198</v>
      </c>
      <c r="C113" s="78" t="str">
        <f t="shared" si="72"/>
        <v>นางสาวอาทิตยา วิชัยดิษฐ</v>
      </c>
      <c r="D113" s="3">
        <f t="shared" si="73"/>
        <v>89.79</v>
      </c>
      <c r="E113" s="3">
        <f t="shared" si="73"/>
        <v>629.41999999999996</v>
      </c>
      <c r="F113" s="7" t="str">
        <f t="shared" si="74"/>
        <v>A</v>
      </c>
      <c r="G113" s="7" t="str">
        <f t="shared" si="75"/>
        <v>-</v>
      </c>
      <c r="H113" s="1"/>
      <c r="I113" s="47">
        <f>IF(OR($E$128=4,$E$128=6,$E$128=8),$J$113-$E$129,"-")</f>
        <v>413.1</v>
      </c>
      <c r="J113" s="47">
        <f>IF(OR($E$128=8,$E$128=6,$E$128=4),$I$112-0.01,"-")</f>
        <v>468.21000000000004</v>
      </c>
      <c r="K113" s="91">
        <f t="shared" si="76"/>
        <v>55.110000000000014</v>
      </c>
      <c r="L113" s="7" t="str">
        <f>IF($E$128=8,$C$129,IF($E$128=6,$C$128,IF($E$128=4,$C$127,"-")))</f>
        <v>C+</v>
      </c>
      <c r="M113" s="27">
        <f t="shared" si="77"/>
        <v>1</v>
      </c>
      <c r="N113" s="1"/>
      <c r="O113" s="8" t="str">
        <f>IF(OR($E$128=5,$E$128=7),$Q$113-$E$129,"-")</f>
        <v>-</v>
      </c>
      <c r="P113" s="24"/>
      <c r="Q113" s="8" t="str">
        <f>IF(OR($E$128=5,$E$128=7),$O$112-0.01,"-")</f>
        <v>-</v>
      </c>
      <c r="R113" s="91" t="e">
        <f t="shared" si="79"/>
        <v>#VALUE!</v>
      </c>
      <c r="S113" s="7" t="str">
        <f>IF($E$128=7,$C$129,IF($E$128=5,$C$128,"-"))</f>
        <v>-</v>
      </c>
      <c r="T113" s="27" t="str">
        <f t="shared" si="78"/>
        <v>-</v>
      </c>
      <c r="U113" s="1"/>
    </row>
    <row r="114" spans="1:21" ht="22" thickBot="1" x14ac:dyDescent="0.4">
      <c r="A114" s="6">
        <f t="shared" si="72"/>
        <v>7</v>
      </c>
      <c r="B114" s="6">
        <f t="shared" si="72"/>
        <v>651201199</v>
      </c>
      <c r="C114" s="78" t="str">
        <f t="shared" si="72"/>
        <v>นางสาวอาทิตยา ใจสูงเนิน</v>
      </c>
      <c r="D114" s="3">
        <f t="shared" si="73"/>
        <v>84.7</v>
      </c>
      <c r="E114" s="3">
        <f t="shared" si="73"/>
        <v>542.04</v>
      </c>
      <c r="F114" s="7" t="str">
        <f t="shared" si="74"/>
        <v>B+</v>
      </c>
      <c r="G114" s="7" t="str">
        <f t="shared" si="75"/>
        <v>-</v>
      </c>
      <c r="H114" s="1"/>
      <c r="I114" s="47" t="str">
        <f>IF(OR($E$128=6,$E$128=8),$J$114-$E$129,"-")</f>
        <v>-</v>
      </c>
      <c r="J114" s="47" t="str">
        <f>IF(OR($E$128=8,$E$128=6),$I$113-0.01,"-")</f>
        <v>-</v>
      </c>
      <c r="K114" s="91" t="e">
        <f t="shared" si="76"/>
        <v>#VALUE!</v>
      </c>
      <c r="L114" s="7" t="str">
        <f>IF($E$128=8,$C$130,IF($E$128=6,$C$129,"-"))</f>
        <v>-</v>
      </c>
      <c r="M114" s="27" t="str">
        <f t="shared" si="77"/>
        <v>-</v>
      </c>
      <c r="N114" s="1"/>
      <c r="O114" s="23" t="str">
        <f>IF(OR($E$128=7),$Q$114-$E$129,"-")</f>
        <v>-</v>
      </c>
      <c r="P114" s="24"/>
      <c r="Q114" s="23" t="str">
        <f>IF(OR($E$128=7),$O$113-0.01,"-")</f>
        <v>-</v>
      </c>
      <c r="R114" s="92" t="e">
        <f t="shared" si="79"/>
        <v>#VALUE!</v>
      </c>
      <c r="S114" s="22" t="str">
        <f>IF($E$128=7,$C$130,"-")</f>
        <v>-</v>
      </c>
      <c r="T114" s="93" t="str">
        <f t="shared" si="78"/>
        <v>-</v>
      </c>
      <c r="U114" s="1"/>
    </row>
    <row r="115" spans="1:21" ht="22" thickBot="1" x14ac:dyDescent="0.4">
      <c r="A115" s="6">
        <f t="shared" si="72"/>
        <v>8</v>
      </c>
      <c r="B115" s="6">
        <f t="shared" si="72"/>
        <v>651201200</v>
      </c>
      <c r="C115" s="78" t="str">
        <f t="shared" si="72"/>
        <v>นางสาวอุไรวรรณ กองพอด</v>
      </c>
      <c r="D115" s="3">
        <f t="shared" si="73"/>
        <v>87.25</v>
      </c>
      <c r="E115" s="3">
        <f t="shared" si="73"/>
        <v>597.11</v>
      </c>
      <c r="F115" s="7" t="str">
        <f t="shared" si="74"/>
        <v>A</v>
      </c>
      <c r="G115" s="7" t="str">
        <f t="shared" si="75"/>
        <v>-</v>
      </c>
      <c r="H115" s="1"/>
      <c r="I115" s="89" t="str">
        <f>IF(OR($E$128=8),$J$115-$E$129,"-")</f>
        <v>-</v>
      </c>
      <c r="J115" s="89" t="str">
        <f>IF($E$128=8,$I$114-0.01,"-")</f>
        <v>-</v>
      </c>
      <c r="K115" s="92" t="e">
        <f t="shared" si="76"/>
        <v>#VALUE!</v>
      </c>
      <c r="L115" s="7" t="str">
        <f>IF($E$128=8,$C$131,"-")</f>
        <v>-</v>
      </c>
      <c r="M115" s="93" t="str">
        <f t="shared" si="77"/>
        <v>-</v>
      </c>
      <c r="N115" s="1"/>
      <c r="O115" s="259" t="s">
        <v>1</v>
      </c>
      <c r="P115" s="259"/>
      <c r="Q115" s="259"/>
      <c r="R115" s="259"/>
      <c r="S115" s="259"/>
      <c r="T115" s="94">
        <f>SUM(T108:T114)</f>
        <v>0</v>
      </c>
      <c r="U115" s="1"/>
    </row>
    <row r="116" spans="1:21" ht="22" thickBot="1" x14ac:dyDescent="0.4">
      <c r="A116" s="6">
        <f t="shared" si="72"/>
        <v>9</v>
      </c>
      <c r="B116" s="6">
        <f t="shared" si="72"/>
        <v>651201201</v>
      </c>
      <c r="C116" s="78" t="str">
        <f t="shared" si="72"/>
        <v>นางสาวกรรณิการ์ ประกอบแก้ว</v>
      </c>
      <c r="D116" s="3">
        <f t="shared" si="73"/>
        <v>88.36</v>
      </c>
      <c r="E116" s="3">
        <f t="shared" si="73"/>
        <v>585.80999999999995</v>
      </c>
      <c r="F116" s="7" t="str">
        <f t="shared" si="74"/>
        <v>A</v>
      </c>
      <c r="G116" s="7" t="str">
        <f t="shared" si="75"/>
        <v>-</v>
      </c>
      <c r="H116" s="1"/>
      <c r="I116" s="218" t="s">
        <v>1</v>
      </c>
      <c r="J116" s="219"/>
      <c r="K116" s="219"/>
      <c r="L116" s="220"/>
      <c r="M116" s="94">
        <f>SUM(M108:M115)</f>
        <v>8</v>
      </c>
      <c r="N116" s="1"/>
      <c r="O116" s="1"/>
      <c r="P116" s="1"/>
      <c r="Q116" s="1"/>
      <c r="R116" s="1"/>
      <c r="S116" s="1"/>
      <c r="T116" s="1"/>
      <c r="U116" s="1"/>
    </row>
    <row r="117" spans="1:21" ht="21" x14ac:dyDescent="0.35">
      <c r="A117" s="6">
        <f t="shared" si="72"/>
        <v>10</v>
      </c>
      <c r="B117" s="6">
        <f t="shared" si="72"/>
        <v>0</v>
      </c>
      <c r="C117" s="78">
        <f t="shared" si="72"/>
        <v>0</v>
      </c>
      <c r="D117" s="3">
        <f t="shared" si="73"/>
        <v>0</v>
      </c>
      <c r="E117" s="3" t="str">
        <f>IF(D117=0,"-",ROUND(SUM(F17,I17,L17,O17,R17,U17,F33,I33,L33,O33,R33,U33,F50,I50,L50,O50,R50,U50,F67,I67,L67,O67,R67,U67,F84,I84,L84,O84,R84,U84),2))</f>
        <v>-</v>
      </c>
      <c r="F117" s="7" t="str">
        <f t="shared" si="74"/>
        <v>-</v>
      </c>
      <c r="G117" s="7" t="str">
        <f t="shared" si="75"/>
        <v>-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 x14ac:dyDescent="0.35">
      <c r="A118" s="2"/>
      <c r="B118" s="2"/>
      <c r="C118" s="79"/>
      <c r="D118" s="9"/>
      <c r="E118" s="9"/>
      <c r="F118" s="42"/>
      <c r="G118" s="4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 x14ac:dyDescent="0.35">
      <c r="A119" s="2"/>
      <c r="B119" s="2"/>
      <c r="C119" s="79"/>
      <c r="D119" s="9"/>
      <c r="E119" s="9"/>
      <c r="F119" s="42"/>
      <c r="G119" s="4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 x14ac:dyDescent="0.35">
      <c r="A120" s="2"/>
      <c r="B120" s="2"/>
      <c r="C120" s="79"/>
      <c r="D120" s="9"/>
      <c r="E120" s="9"/>
      <c r="F120" s="42"/>
      <c r="G120" s="4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 x14ac:dyDescent="0.35">
      <c r="A121" s="2"/>
      <c r="B121" s="2"/>
      <c r="C121" s="79"/>
      <c r="D121" s="9"/>
      <c r="E121" s="9"/>
      <c r="F121" s="42"/>
      <c r="G121" s="4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 x14ac:dyDescent="0.35">
      <c r="A122" s="2"/>
      <c r="B122" s="2"/>
      <c r="C122" s="79"/>
      <c r="D122" s="9"/>
      <c r="E122" s="9"/>
      <c r="F122" s="42"/>
      <c r="G122" s="4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 x14ac:dyDescent="0.35">
      <c r="A123" s="2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 x14ac:dyDescent="0.35">
      <c r="A124" s="2"/>
      <c r="B124" s="6" t="str">
        <f>IF($E$130="A","4",IF($E$130="B+","3.5",IF($E$130="B","3",IF($E$130="C+","2.5",IF($E$130="C","2",IF($E$130="D+","1.5",IF($E$130="D","1","-")))))))</f>
        <v>4</v>
      </c>
      <c r="C124" s="6" t="str">
        <f>IF(B124="4","A",IF(B124="3.5","B+",IF(B124="3","B",IF(B124="2.5","C+",IF(B124="2","C",IF(B124="1.5","D+",IF(B124="1","D","-")))))))</f>
        <v>A</v>
      </c>
      <c r="D124" s="4" t="s">
        <v>13</v>
      </c>
      <c r="E124" s="37">
        <f>ROUND(AVERAGE($E$108:$E$117),2)</f>
        <v>523.34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 x14ac:dyDescent="0.35">
      <c r="A125" s="2"/>
      <c r="B125" s="6">
        <f>$B$124-0.5</f>
        <v>3.5</v>
      </c>
      <c r="C125" s="6" t="str">
        <f t="shared" ref="C125:C131" si="80">IF(B125=4,"A",IF(B125=3.5,"B+",IF(B125=3,"B",IF(B125=2.5,"C+",IF(B125=2,"C",IF(B125=1.5,"D+",IF(B125=1,"D","E")))))))</f>
        <v>B+</v>
      </c>
      <c r="D125" s="37" t="s">
        <v>18</v>
      </c>
      <c r="E125" s="37">
        <f>ROUND(MAX($E$108:$E$117),2)</f>
        <v>629.41999999999996</v>
      </c>
      <c r="F125" s="1"/>
      <c r="G125" s="1"/>
      <c r="H125" s="1"/>
      <c r="I125" s="1"/>
      <c r="J125" s="1"/>
      <c r="K125" s="1"/>
      <c r="L125" s="1"/>
      <c r="M125" s="1"/>
      <c r="N125" s="1"/>
      <c r="O125" s="1" t="s">
        <v>154</v>
      </c>
      <c r="P125" s="1"/>
      <c r="Q125" s="1"/>
      <c r="R125" s="1"/>
      <c r="S125" s="1"/>
      <c r="T125" s="1"/>
      <c r="U125" s="1"/>
    </row>
    <row r="126" spans="1:21" ht="21" x14ac:dyDescent="0.35">
      <c r="A126" s="2"/>
      <c r="B126" s="6">
        <f>$B$124-1</f>
        <v>3</v>
      </c>
      <c r="C126" s="6" t="str">
        <f t="shared" si="80"/>
        <v>B</v>
      </c>
      <c r="D126" s="37" t="s">
        <v>19</v>
      </c>
      <c r="E126" s="37">
        <f>ROUND(MIN($E$108:$E$117),2)</f>
        <v>408.98</v>
      </c>
      <c r="F126" s="1"/>
      <c r="G126" s="1"/>
      <c r="H126" s="1"/>
      <c r="I126" s="1"/>
      <c r="J126" s="1"/>
      <c r="K126" s="1"/>
      <c r="L126" s="1"/>
      <c r="M126" s="1"/>
      <c r="N126" s="1"/>
      <c r="O126" s="1">
        <v>1</v>
      </c>
      <c r="P126" s="1" t="s">
        <v>137</v>
      </c>
      <c r="Q126" s="1"/>
      <c r="R126" s="1"/>
      <c r="S126" s="1"/>
      <c r="T126" s="1"/>
      <c r="U126" s="1"/>
    </row>
    <row r="127" spans="1:21" ht="21" x14ac:dyDescent="0.35">
      <c r="A127" s="2"/>
      <c r="B127" s="6">
        <f>$B$124-1.5</f>
        <v>2.5</v>
      </c>
      <c r="C127" s="6" t="str">
        <f t="shared" si="80"/>
        <v>C+</v>
      </c>
      <c r="D127" s="4" t="s">
        <v>150</v>
      </c>
      <c r="E127" s="37">
        <f>ROUND($E$125-$E$126,2)</f>
        <v>220.44</v>
      </c>
      <c r="F127" s="1"/>
      <c r="G127" s="1"/>
      <c r="H127" s="1"/>
      <c r="I127" s="1"/>
      <c r="J127" s="1"/>
      <c r="K127" s="1"/>
      <c r="L127" s="1"/>
      <c r="M127" s="1"/>
      <c r="N127" s="1"/>
      <c r="O127" s="1">
        <v>2</v>
      </c>
      <c r="P127" s="1" t="s">
        <v>155</v>
      </c>
      <c r="Q127" s="1"/>
      <c r="R127" s="1"/>
      <c r="S127" s="1"/>
      <c r="T127" s="1"/>
      <c r="U127" s="1"/>
    </row>
    <row r="128" spans="1:21" ht="21" x14ac:dyDescent="0.35">
      <c r="A128" s="2"/>
      <c r="B128" s="6">
        <f>$B$124-2</f>
        <v>2</v>
      </c>
      <c r="C128" s="6" t="str">
        <f t="shared" si="80"/>
        <v>C</v>
      </c>
      <c r="D128" s="4" t="s">
        <v>4</v>
      </c>
      <c r="E128" s="32">
        <v>4</v>
      </c>
      <c r="F128" s="1" t="s">
        <v>40</v>
      </c>
      <c r="G128" s="1"/>
      <c r="H128" s="1"/>
      <c r="I128" s="1"/>
      <c r="J128" s="1"/>
      <c r="K128" s="1"/>
      <c r="L128" s="1"/>
      <c r="M128" s="1"/>
      <c r="N128" s="1"/>
      <c r="O128" s="1">
        <v>3</v>
      </c>
      <c r="P128" s="1" t="s">
        <v>156</v>
      </c>
      <c r="Q128" s="1"/>
      <c r="R128" s="1"/>
      <c r="S128" s="1"/>
      <c r="T128" s="1"/>
      <c r="U128" s="1"/>
    </row>
    <row r="129" spans="1:21" ht="21" x14ac:dyDescent="0.35">
      <c r="A129" s="2"/>
      <c r="B129" s="6">
        <f>$B$124-2.5</f>
        <v>1.5</v>
      </c>
      <c r="C129" s="6" t="str">
        <f t="shared" si="80"/>
        <v>D+</v>
      </c>
      <c r="D129" s="4" t="s">
        <v>9</v>
      </c>
      <c r="E129" s="37">
        <f>ROUND($E$127/$E$128,2)</f>
        <v>55.11</v>
      </c>
      <c r="F129" s="1"/>
      <c r="G129" s="1"/>
      <c r="H129" s="1"/>
      <c r="I129" s="1"/>
      <c r="J129" s="1"/>
      <c r="K129" s="1"/>
      <c r="L129" s="1"/>
      <c r="M129" s="1"/>
      <c r="N129" s="1"/>
      <c r="O129" s="202"/>
      <c r="P129" s="202"/>
      <c r="Q129" s="202"/>
      <c r="R129" s="202"/>
      <c r="S129" s="202"/>
      <c r="T129" s="1"/>
      <c r="U129" s="1"/>
    </row>
    <row r="130" spans="1:21" ht="21" x14ac:dyDescent="0.35">
      <c r="A130" s="2"/>
      <c r="B130" s="6">
        <f>$B$124-3</f>
        <v>1</v>
      </c>
      <c r="C130" s="6" t="str">
        <f t="shared" si="80"/>
        <v>D</v>
      </c>
      <c r="D130" s="4" t="s">
        <v>151</v>
      </c>
      <c r="E130" s="32" t="s">
        <v>8</v>
      </c>
      <c r="F130" s="1" t="s">
        <v>41</v>
      </c>
      <c r="G130" s="1"/>
      <c r="H130" s="1"/>
      <c r="I130" s="1"/>
      <c r="J130" s="1"/>
      <c r="K130" s="1"/>
      <c r="L130" s="1"/>
      <c r="M130" s="1"/>
      <c r="N130" s="1"/>
      <c r="O130" s="202"/>
      <c r="P130" s="202"/>
      <c r="Q130" s="202"/>
      <c r="R130" s="202"/>
      <c r="S130" s="202"/>
      <c r="T130" s="1"/>
      <c r="U130" s="1"/>
    </row>
    <row r="131" spans="1:21" ht="21" x14ac:dyDescent="0.35">
      <c r="A131" s="2"/>
      <c r="B131" s="6">
        <f>$B$124-3.5</f>
        <v>0.5</v>
      </c>
      <c r="C131" s="6" t="str">
        <f t="shared" si="80"/>
        <v>E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21"/>
      <c r="P131" s="221"/>
      <c r="Q131" s="221"/>
      <c r="R131" s="221"/>
      <c r="S131" s="221"/>
      <c r="T131" s="1"/>
      <c r="U131" s="1"/>
    </row>
    <row r="132" spans="1:21" ht="21" x14ac:dyDescent="0.35">
      <c r="A132" s="2"/>
      <c r="B132" s="6">
        <f>$B$124-4</f>
        <v>0</v>
      </c>
      <c r="C132" s="6" t="str">
        <f>IF(B132=4,"A",IF(B132=3.5,"B+",IF(B132=3,"B",IF(B132=2.5,"C+",IF(B132=2,"C",IF(B132=1.5,"D+",IF(B132=1,"D","E")))))))</f>
        <v>E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 x14ac:dyDescent="0.35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 x14ac:dyDescent="0.35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 x14ac:dyDescent="0.35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 x14ac:dyDescent="0.35">
      <c r="A136" s="2"/>
      <c r="B136" s="2"/>
      <c r="C136" s="256" t="s">
        <v>188</v>
      </c>
      <c r="D136" s="256"/>
      <c r="E136" s="256"/>
      <c r="F136" s="1"/>
      <c r="G136" s="1">
        <v>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 x14ac:dyDescent="0.35">
      <c r="A137" s="217" t="s">
        <v>76</v>
      </c>
      <c r="B137" s="217" t="s">
        <v>12</v>
      </c>
      <c r="C137" s="217" t="s">
        <v>0</v>
      </c>
      <c r="D137" s="253" t="s">
        <v>1</v>
      </c>
      <c r="E137" s="253"/>
      <c r="F137" s="253"/>
      <c r="G137" s="25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 x14ac:dyDescent="0.35">
      <c r="A138" s="217"/>
      <c r="B138" s="217"/>
      <c r="C138" s="217"/>
      <c r="D138" s="30" t="str">
        <f>D92</f>
        <v>100%</v>
      </c>
      <c r="E138" s="30" t="str">
        <f>E92</f>
        <v>10.5T</v>
      </c>
      <c r="F138" s="254" t="s">
        <v>4</v>
      </c>
      <c r="G138" s="25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 x14ac:dyDescent="0.35">
      <c r="A139" s="6">
        <f>A8</f>
        <v>1</v>
      </c>
      <c r="B139" s="6">
        <f t="shared" ref="B139:C139" si="81">B8</f>
        <v>651201193</v>
      </c>
      <c r="C139" s="78" t="str">
        <f t="shared" si="81"/>
        <v>นางสาวอรทัย ศรีมันตะ</v>
      </c>
      <c r="D139" s="3">
        <f>D93</f>
        <v>82.09</v>
      </c>
      <c r="E139" s="3">
        <f>E93</f>
        <v>479.03</v>
      </c>
      <c r="F139" s="204" t="str">
        <f>IF($G$136=1,F93,IF($G$136=2,F108,G108))</f>
        <v>B+</v>
      </c>
      <c r="G139" s="20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 x14ac:dyDescent="0.35">
      <c r="A140" s="6">
        <f t="shared" ref="A140:C148" si="82">A9</f>
        <v>2</v>
      </c>
      <c r="B140" s="6">
        <f t="shared" si="82"/>
        <v>651201194</v>
      </c>
      <c r="C140" s="78" t="str">
        <f t="shared" si="82"/>
        <v>นางสาวอริสา จนั ชาดา</v>
      </c>
      <c r="D140" s="3">
        <f t="shared" ref="D140:E148" si="83">D94</f>
        <v>83.91</v>
      </c>
      <c r="E140" s="3">
        <f t="shared" si="83"/>
        <v>512.46</v>
      </c>
      <c r="F140" s="204" t="str">
        <f t="shared" ref="F140:F148" si="84">IF($G$136=1,F94,IF($G$136=2,F109,G109))</f>
        <v>B+</v>
      </c>
      <c r="G140" s="20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 x14ac:dyDescent="0.35">
      <c r="A141" s="6">
        <f t="shared" si="82"/>
        <v>3</v>
      </c>
      <c r="B141" s="6">
        <f t="shared" si="82"/>
        <v>651201195</v>
      </c>
      <c r="C141" s="78" t="str">
        <f t="shared" si="82"/>
        <v>นางสาวอริสา ดำรงเชื้อ</v>
      </c>
      <c r="D141" s="3">
        <f t="shared" si="83"/>
        <v>80.42</v>
      </c>
      <c r="E141" s="3">
        <f t="shared" si="83"/>
        <v>448.52</v>
      </c>
      <c r="F141" s="204" t="str">
        <f t="shared" si="84"/>
        <v>B+</v>
      </c>
      <c r="G141" s="20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 x14ac:dyDescent="0.35">
      <c r="A142" s="6">
        <f t="shared" si="82"/>
        <v>4</v>
      </c>
      <c r="B142" s="6">
        <f t="shared" si="82"/>
        <v>651201196</v>
      </c>
      <c r="C142" s="78" t="str">
        <f t="shared" si="82"/>
        <v>นายอัครพนธ์ เจนชัย</v>
      </c>
      <c r="D142" s="3">
        <f t="shared" si="83"/>
        <v>78.78</v>
      </c>
      <c r="E142" s="3">
        <f t="shared" si="83"/>
        <v>408.98</v>
      </c>
      <c r="F142" s="204" t="str">
        <f t="shared" si="84"/>
        <v>B</v>
      </c>
      <c r="G142" s="20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 x14ac:dyDescent="0.35">
      <c r="A143" s="6">
        <f t="shared" si="82"/>
        <v>5</v>
      </c>
      <c r="B143" s="6">
        <f t="shared" si="82"/>
        <v>651201197</v>
      </c>
      <c r="C143" s="78" t="str">
        <f t="shared" si="82"/>
        <v>นางสาวอัญมณี คำโสภา</v>
      </c>
      <c r="D143" s="3">
        <f t="shared" si="83"/>
        <v>83.44</v>
      </c>
      <c r="E143" s="3">
        <f t="shared" si="83"/>
        <v>506.72</v>
      </c>
      <c r="F143" s="204" t="str">
        <f t="shared" si="84"/>
        <v>B+</v>
      </c>
      <c r="G143" s="20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 x14ac:dyDescent="0.35">
      <c r="A144" s="6">
        <f t="shared" si="82"/>
        <v>6</v>
      </c>
      <c r="B144" s="6">
        <f t="shared" si="82"/>
        <v>651201198</v>
      </c>
      <c r="C144" s="78" t="str">
        <f t="shared" si="82"/>
        <v>นางสาวอาทิตยา วิชัยดิษฐ</v>
      </c>
      <c r="D144" s="3">
        <f t="shared" si="83"/>
        <v>89.79</v>
      </c>
      <c r="E144" s="3">
        <f t="shared" si="83"/>
        <v>629.41999999999996</v>
      </c>
      <c r="F144" s="204" t="str">
        <f t="shared" si="84"/>
        <v>A</v>
      </c>
      <c r="G144" s="20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 x14ac:dyDescent="0.35">
      <c r="A145" s="6">
        <f t="shared" si="82"/>
        <v>7</v>
      </c>
      <c r="B145" s="6">
        <f t="shared" si="82"/>
        <v>651201199</v>
      </c>
      <c r="C145" s="78" t="str">
        <f t="shared" si="82"/>
        <v>นางสาวอาทิตยา ใจสูงเนิน</v>
      </c>
      <c r="D145" s="3">
        <f t="shared" si="83"/>
        <v>84.7</v>
      </c>
      <c r="E145" s="3">
        <f t="shared" si="83"/>
        <v>542.04</v>
      </c>
      <c r="F145" s="204" t="str">
        <f t="shared" si="84"/>
        <v>B+</v>
      </c>
      <c r="G145" s="20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 x14ac:dyDescent="0.35">
      <c r="A146" s="6">
        <f t="shared" si="82"/>
        <v>8</v>
      </c>
      <c r="B146" s="6">
        <f t="shared" si="82"/>
        <v>651201200</v>
      </c>
      <c r="C146" s="78" t="str">
        <f t="shared" si="82"/>
        <v>นางสาวอุไรวรรณ กองพอด</v>
      </c>
      <c r="D146" s="3">
        <f t="shared" si="83"/>
        <v>87.25</v>
      </c>
      <c r="E146" s="3">
        <f t="shared" si="83"/>
        <v>597.11</v>
      </c>
      <c r="F146" s="204" t="str">
        <f t="shared" si="84"/>
        <v>A</v>
      </c>
      <c r="G146" s="20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 x14ac:dyDescent="0.35">
      <c r="A147" s="6">
        <f t="shared" si="82"/>
        <v>9</v>
      </c>
      <c r="B147" s="6">
        <f t="shared" si="82"/>
        <v>651201201</v>
      </c>
      <c r="C147" s="78" t="str">
        <f t="shared" si="82"/>
        <v>นางสาวกรรณิการ์ ประกอบแก้ว</v>
      </c>
      <c r="D147" s="3">
        <f t="shared" si="83"/>
        <v>88.36</v>
      </c>
      <c r="E147" s="3">
        <f t="shared" si="83"/>
        <v>585.80999999999995</v>
      </c>
      <c r="F147" s="204" t="str">
        <f t="shared" si="84"/>
        <v>A</v>
      </c>
      <c r="G147" s="20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 x14ac:dyDescent="0.35">
      <c r="A148" s="6">
        <f t="shared" si="82"/>
        <v>10</v>
      </c>
      <c r="B148" s="6">
        <f t="shared" si="82"/>
        <v>0</v>
      </c>
      <c r="C148" s="78">
        <f t="shared" si="82"/>
        <v>0</v>
      </c>
      <c r="D148" s="3">
        <f t="shared" si="83"/>
        <v>0</v>
      </c>
      <c r="E148" s="3" t="str">
        <f t="shared" si="83"/>
        <v>-</v>
      </c>
      <c r="F148" s="204" t="str">
        <f t="shared" si="84"/>
        <v>-</v>
      </c>
      <c r="G148" s="20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 x14ac:dyDescent="0.35">
      <c r="A149" s="2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</sheetData>
  <protectedRanges>
    <protectedRange sqref="A8:D17" name="ช่วง1_1"/>
  </protectedRanges>
  <mergeCells count="100"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44:G144"/>
    <mergeCell ref="I116:L116"/>
    <mergeCell ref="O129:S129"/>
    <mergeCell ref="O130:S130"/>
    <mergeCell ref="O131:S131"/>
    <mergeCell ref="C136:E136"/>
    <mergeCell ref="A137:A138"/>
    <mergeCell ref="B137:B138"/>
    <mergeCell ref="C137:C138"/>
    <mergeCell ref="D137:G137"/>
    <mergeCell ref="F138:G138"/>
    <mergeCell ref="F100:G100"/>
    <mergeCell ref="F101:G101"/>
    <mergeCell ref="F102:G102"/>
    <mergeCell ref="A106:A107"/>
    <mergeCell ref="B106:B107"/>
    <mergeCell ref="C106:C107"/>
    <mergeCell ref="D106:E106"/>
    <mergeCell ref="F106:G106"/>
    <mergeCell ref="F99:G99"/>
    <mergeCell ref="F93:G93"/>
    <mergeCell ref="P93:Q93"/>
    <mergeCell ref="F94:G94"/>
    <mergeCell ref="P94:Q94"/>
    <mergeCell ref="F95:G95"/>
    <mergeCell ref="P95:Q95"/>
    <mergeCell ref="F96:G96"/>
    <mergeCell ref="P96:Q96"/>
    <mergeCell ref="F97:G97"/>
    <mergeCell ref="P97:Q97"/>
    <mergeCell ref="F98:G98"/>
    <mergeCell ref="A91:A92"/>
    <mergeCell ref="B91:B92"/>
    <mergeCell ref="C91:C92"/>
    <mergeCell ref="D91:G91"/>
    <mergeCell ref="P91:Q91"/>
    <mergeCell ref="F92:G92"/>
    <mergeCell ref="P92:Q92"/>
    <mergeCell ref="S55:U55"/>
    <mergeCell ref="A72:A74"/>
    <mergeCell ref="B72:B74"/>
    <mergeCell ref="C72:C74"/>
    <mergeCell ref="D72:F72"/>
    <mergeCell ref="G72:I72"/>
    <mergeCell ref="J72:L72"/>
    <mergeCell ref="M72:O72"/>
    <mergeCell ref="P72:R72"/>
    <mergeCell ref="S72:U72"/>
    <mergeCell ref="D54:R54"/>
    <mergeCell ref="A55:A57"/>
    <mergeCell ref="B55:B57"/>
    <mergeCell ref="C55:C57"/>
    <mergeCell ref="D55:F55"/>
    <mergeCell ref="G55:I55"/>
    <mergeCell ref="J55:L55"/>
    <mergeCell ref="M55:O55"/>
    <mergeCell ref="P55:R55"/>
    <mergeCell ref="M21:O21"/>
    <mergeCell ref="P21:R21"/>
    <mergeCell ref="S21:U21"/>
    <mergeCell ref="D37:R37"/>
    <mergeCell ref="A38:A40"/>
    <mergeCell ref="B38:B40"/>
    <mergeCell ref="C38:C40"/>
    <mergeCell ref="D38:F38"/>
    <mergeCell ref="G38:I38"/>
    <mergeCell ref="J38:L38"/>
    <mergeCell ref="M38:O38"/>
    <mergeCell ref="P38:R38"/>
    <mergeCell ref="S38:U38"/>
    <mergeCell ref="B21:B23"/>
    <mergeCell ref="C21:C23"/>
    <mergeCell ref="D21:F21"/>
    <mergeCell ref="G21:I21"/>
    <mergeCell ref="J21:L21"/>
    <mergeCell ref="O115:S115"/>
    <mergeCell ref="S5:U5"/>
    <mergeCell ref="A1:U1"/>
    <mergeCell ref="A2:U2"/>
    <mergeCell ref="A3:U3"/>
    <mergeCell ref="D4:U4"/>
    <mergeCell ref="A5:A7"/>
    <mergeCell ref="B5:B7"/>
    <mergeCell ref="C5:C7"/>
    <mergeCell ref="D5:F5"/>
    <mergeCell ref="G5:I5"/>
    <mergeCell ref="J5:L5"/>
    <mergeCell ref="M5:O5"/>
    <mergeCell ref="P5:R5"/>
    <mergeCell ref="D20:U20"/>
    <mergeCell ref="A21:A2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3538" r:id="rId3" name="Drop Down 2">
              <controlPr defaultSize="0" autoLine="0" autoPict="0">
                <anchor moveWithCells="1">
                  <from>
                    <xdr:col>4</xdr:col>
                    <xdr:colOff>330200</xdr:colOff>
                    <xdr:row>135</xdr:row>
                    <xdr:rowOff>0</xdr:rowOff>
                  </from>
                  <to>
                    <xdr:col>6</xdr:col>
                    <xdr:colOff>101600</xdr:colOff>
                    <xdr:row>135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"/>
  <dimension ref="A1:K141"/>
  <sheetViews>
    <sheetView zoomScale="92" zoomScaleNormal="92" workbookViewId="0">
      <selection sqref="A1:G3"/>
    </sheetView>
  </sheetViews>
  <sheetFormatPr baseColWidth="10" defaultColWidth="9" defaultRowHeight="24" x14ac:dyDescent="0.4"/>
  <cols>
    <col min="1" max="1" width="6" style="102" customWidth="1"/>
    <col min="2" max="2" width="13.1640625" style="102" customWidth="1"/>
    <col min="3" max="3" width="0.1640625" style="102" customWidth="1"/>
    <col min="4" max="4" width="29.6640625" style="102" customWidth="1"/>
    <col min="5" max="5" width="9.1640625" style="102" customWidth="1"/>
    <col min="6" max="6" width="10.5" style="102" customWidth="1"/>
    <col min="7" max="7" width="14.1640625" style="100" customWidth="1"/>
    <col min="8" max="8" width="2.33203125" style="100" customWidth="1"/>
    <col min="9" max="9" width="9" style="100" customWidth="1"/>
    <col min="10" max="10" width="9" style="100"/>
    <col min="11" max="14" width="6.1640625" style="100" customWidth="1"/>
    <col min="15" max="15" width="1.6640625" style="100" customWidth="1"/>
    <col min="16" max="16" width="0.6640625" style="100" customWidth="1"/>
    <col min="17" max="16384" width="9" style="100"/>
  </cols>
  <sheetData>
    <row r="1" spans="1:11" x14ac:dyDescent="0.4">
      <c r="A1" s="261" t="s">
        <v>11</v>
      </c>
      <c r="B1" s="261"/>
      <c r="C1" s="261"/>
      <c r="D1" s="261"/>
      <c r="E1" s="261"/>
      <c r="F1" s="261"/>
      <c r="G1" s="261"/>
    </row>
    <row r="2" spans="1:11" x14ac:dyDescent="0.4">
      <c r="A2" s="261" t="s">
        <v>192</v>
      </c>
      <c r="B2" s="261"/>
      <c r="C2" s="261"/>
      <c r="D2" s="261"/>
      <c r="E2" s="261"/>
      <c r="F2" s="261"/>
      <c r="G2" s="261"/>
      <c r="H2" s="101"/>
    </row>
    <row r="3" spans="1:11" ht="27" customHeight="1" x14ac:dyDescent="0.4">
      <c r="A3" s="262" t="s">
        <v>318</v>
      </c>
      <c r="B3" s="262"/>
      <c r="C3" s="262"/>
      <c r="D3" s="262"/>
      <c r="E3" s="262"/>
      <c r="F3" s="262"/>
      <c r="G3" s="262"/>
    </row>
    <row r="4" spans="1:11" ht="21.75" customHeight="1" x14ac:dyDescent="0.4">
      <c r="A4" s="263"/>
      <c r="B4" s="263"/>
      <c r="D4" s="101"/>
      <c r="E4" s="101"/>
      <c r="F4" s="101"/>
      <c r="G4" s="101"/>
    </row>
    <row r="5" spans="1:11" ht="27.75" customHeight="1" x14ac:dyDescent="0.4">
      <c r="A5" s="264" t="s">
        <v>5</v>
      </c>
      <c r="B5" s="264" t="s">
        <v>157</v>
      </c>
      <c r="C5" s="264" t="s">
        <v>0</v>
      </c>
      <c r="D5" s="264"/>
      <c r="E5" s="265" t="s">
        <v>1</v>
      </c>
      <c r="F5" s="266"/>
      <c r="G5" s="267"/>
    </row>
    <row r="6" spans="1:11" ht="23.25" customHeight="1" thickBot="1" x14ac:dyDescent="0.45">
      <c r="A6" s="264"/>
      <c r="B6" s="264"/>
      <c r="C6" s="264"/>
      <c r="D6" s="264"/>
      <c r="E6" s="103">
        <v>1</v>
      </c>
      <c r="F6" s="104" t="s">
        <v>158</v>
      </c>
      <c r="G6" s="105" t="s">
        <v>4</v>
      </c>
    </row>
    <row r="7" spans="1:11" ht="27" x14ac:dyDescent="0.45">
      <c r="A7" s="106">
        <v>1</v>
      </c>
      <c r="B7" s="326">
        <v>651201101</v>
      </c>
      <c r="C7" s="197" t="s">
        <v>205</v>
      </c>
      <c r="D7" s="327" t="s">
        <v>217</v>
      </c>
      <c r="E7" s="110">
        <v>84.97</v>
      </c>
      <c r="F7" s="110">
        <v>491.39</v>
      </c>
      <c r="G7" s="111" t="s">
        <v>111</v>
      </c>
      <c r="H7" s="112"/>
    </row>
    <row r="8" spans="1:11" ht="27" x14ac:dyDescent="0.45">
      <c r="A8" s="106">
        <v>2</v>
      </c>
      <c r="B8" s="328">
        <v>651201102</v>
      </c>
      <c r="C8" s="197" t="s">
        <v>206</v>
      </c>
      <c r="D8" s="329" t="s">
        <v>218</v>
      </c>
      <c r="E8" s="110">
        <v>79.27</v>
      </c>
      <c r="F8" s="110">
        <v>399.69</v>
      </c>
      <c r="G8" s="111" t="s">
        <v>110</v>
      </c>
      <c r="H8" s="112"/>
    </row>
    <row r="9" spans="1:11" ht="27" x14ac:dyDescent="0.45">
      <c r="A9" s="106">
        <v>3</v>
      </c>
      <c r="B9" s="328">
        <v>651201103</v>
      </c>
      <c r="C9" s="197" t="s">
        <v>207</v>
      </c>
      <c r="D9" s="329" t="s">
        <v>219</v>
      </c>
      <c r="E9" s="110">
        <v>92.06</v>
      </c>
      <c r="F9" s="110">
        <v>625.39</v>
      </c>
      <c r="G9" s="111" t="s">
        <v>8</v>
      </c>
      <c r="H9" s="112"/>
    </row>
    <row r="10" spans="1:11" ht="27" x14ac:dyDescent="0.45">
      <c r="A10" s="106">
        <v>4</v>
      </c>
      <c r="B10" s="328">
        <v>651201104</v>
      </c>
      <c r="C10" s="197" t="s">
        <v>208</v>
      </c>
      <c r="D10" s="329" t="s">
        <v>220</v>
      </c>
      <c r="E10" s="110">
        <v>92.56</v>
      </c>
      <c r="F10" s="110">
        <v>635.48</v>
      </c>
      <c r="G10" s="111" t="s">
        <v>8</v>
      </c>
      <c r="H10" s="112"/>
      <c r="J10" s="112"/>
      <c r="K10" s="100" t="s">
        <v>2</v>
      </c>
    </row>
    <row r="11" spans="1:11" ht="27" x14ac:dyDescent="0.45">
      <c r="A11" s="106">
        <v>5</v>
      </c>
      <c r="B11" s="328">
        <v>651201105</v>
      </c>
      <c r="C11" s="197" t="s">
        <v>209</v>
      </c>
      <c r="D11" s="329" t="s">
        <v>221</v>
      </c>
      <c r="E11" s="110">
        <v>81.349999999999994</v>
      </c>
      <c r="F11" s="110">
        <v>437.57</v>
      </c>
      <c r="G11" s="111" t="s">
        <v>111</v>
      </c>
      <c r="H11" s="112"/>
    </row>
    <row r="12" spans="1:11" ht="27" x14ac:dyDescent="0.45">
      <c r="A12" s="106">
        <v>6</v>
      </c>
      <c r="B12" s="328">
        <v>651201106</v>
      </c>
      <c r="C12" s="197" t="s">
        <v>210</v>
      </c>
      <c r="D12" s="329" t="s">
        <v>222</v>
      </c>
      <c r="E12" s="110">
        <v>86.22</v>
      </c>
      <c r="F12" s="110">
        <v>520.42999999999995</v>
      </c>
      <c r="G12" s="111" t="s">
        <v>8</v>
      </c>
      <c r="H12" s="112"/>
    </row>
    <row r="13" spans="1:11" ht="27" x14ac:dyDescent="0.45">
      <c r="A13" s="106">
        <v>7</v>
      </c>
      <c r="B13" s="328">
        <v>651201107</v>
      </c>
      <c r="C13" s="197" t="s">
        <v>211</v>
      </c>
      <c r="D13" s="329" t="s">
        <v>223</v>
      </c>
      <c r="E13" s="110">
        <v>92.31</v>
      </c>
      <c r="F13" s="110">
        <v>618.98</v>
      </c>
      <c r="G13" s="111" t="s">
        <v>8</v>
      </c>
      <c r="H13" s="112"/>
    </row>
    <row r="14" spans="1:11" ht="28" thickBot="1" x14ac:dyDescent="0.5">
      <c r="A14" s="106">
        <v>8</v>
      </c>
      <c r="B14" s="330">
        <v>651201108</v>
      </c>
      <c r="C14" s="197" t="s">
        <v>212</v>
      </c>
      <c r="D14" s="331" t="s">
        <v>224</v>
      </c>
      <c r="E14" s="110">
        <v>84.72</v>
      </c>
      <c r="F14" s="110">
        <v>490.16</v>
      </c>
      <c r="G14" s="111" t="s">
        <v>111</v>
      </c>
      <c r="H14" s="112"/>
    </row>
    <row r="15" spans="1:11" ht="27" x14ac:dyDescent="0.45">
      <c r="A15" s="106">
        <v>9</v>
      </c>
      <c r="B15" s="332">
        <v>651201109</v>
      </c>
      <c r="C15" s="128" t="s">
        <v>202</v>
      </c>
      <c r="D15" s="332" t="s">
        <v>225</v>
      </c>
      <c r="E15" s="110">
        <v>84.88</v>
      </c>
      <c r="F15" s="110">
        <v>540.53</v>
      </c>
      <c r="G15" s="111" t="s">
        <v>111</v>
      </c>
      <c r="H15" s="112"/>
    </row>
    <row r="16" spans="1:11" ht="27" x14ac:dyDescent="0.45">
      <c r="A16" s="106">
        <v>10</v>
      </c>
      <c r="B16" s="333">
        <v>651201110</v>
      </c>
      <c r="C16" s="128"/>
      <c r="D16" s="333" t="s">
        <v>226</v>
      </c>
      <c r="E16" s="110">
        <v>90.89</v>
      </c>
      <c r="F16" s="110">
        <v>637.83000000000004</v>
      </c>
      <c r="G16" s="111" t="s">
        <v>8</v>
      </c>
      <c r="H16" s="112"/>
    </row>
    <row r="17" spans="1:8" ht="27" x14ac:dyDescent="0.45">
      <c r="A17" s="106">
        <v>11</v>
      </c>
      <c r="B17" s="333">
        <v>651201111</v>
      </c>
      <c r="C17" s="128"/>
      <c r="D17" s="333" t="s">
        <v>227</v>
      </c>
      <c r="E17" s="110">
        <v>84.11</v>
      </c>
      <c r="F17" s="110">
        <v>513.49</v>
      </c>
      <c r="G17" s="111" t="s">
        <v>111</v>
      </c>
      <c r="H17" s="112"/>
    </row>
    <row r="18" spans="1:8" ht="27" x14ac:dyDescent="0.45">
      <c r="A18" s="106">
        <v>12</v>
      </c>
      <c r="B18" s="333">
        <v>651201112</v>
      </c>
      <c r="C18" s="128"/>
      <c r="D18" s="333" t="s">
        <v>228</v>
      </c>
      <c r="E18" s="110">
        <v>79.319999999999993</v>
      </c>
      <c r="F18" s="110">
        <v>413.18</v>
      </c>
      <c r="G18" s="111" t="s">
        <v>110</v>
      </c>
      <c r="H18" s="112"/>
    </row>
    <row r="19" spans="1:8" ht="27" x14ac:dyDescent="0.45">
      <c r="A19" s="106">
        <v>13</v>
      </c>
      <c r="B19" s="333">
        <v>651201113</v>
      </c>
      <c r="C19" s="128"/>
      <c r="D19" s="333" t="s">
        <v>229</v>
      </c>
      <c r="E19" s="110">
        <v>79.25</v>
      </c>
      <c r="F19" s="110">
        <v>432.19</v>
      </c>
      <c r="G19" s="111" t="s">
        <v>110</v>
      </c>
      <c r="H19" s="112"/>
    </row>
    <row r="20" spans="1:8" ht="27" x14ac:dyDescent="0.45">
      <c r="A20" s="106">
        <v>14</v>
      </c>
      <c r="B20" s="333">
        <v>651201114</v>
      </c>
      <c r="C20" s="128"/>
      <c r="D20" s="333" t="s">
        <v>230</v>
      </c>
      <c r="E20" s="110">
        <v>90.35</v>
      </c>
      <c r="F20" s="110">
        <v>624.16</v>
      </c>
      <c r="G20" s="111" t="s">
        <v>8</v>
      </c>
      <c r="H20" s="112"/>
    </row>
    <row r="21" spans="1:8" ht="27" x14ac:dyDescent="0.45">
      <c r="A21" s="106">
        <v>15</v>
      </c>
      <c r="B21" s="333">
        <v>651201115</v>
      </c>
      <c r="C21" s="128"/>
      <c r="D21" s="333" t="s">
        <v>231</v>
      </c>
      <c r="E21" s="110">
        <v>84.38</v>
      </c>
      <c r="F21" s="110">
        <v>524</v>
      </c>
      <c r="G21" s="111" t="s">
        <v>111</v>
      </c>
      <c r="H21" s="112"/>
    </row>
    <row r="22" spans="1:8" ht="28" thickBot="1" x14ac:dyDescent="0.5">
      <c r="A22" s="106">
        <v>16</v>
      </c>
      <c r="B22" s="334">
        <v>651201116</v>
      </c>
      <c r="C22" s="128"/>
      <c r="D22" s="334" t="s">
        <v>232</v>
      </c>
      <c r="E22" s="110">
        <v>84.05</v>
      </c>
      <c r="F22" s="110">
        <v>508.24</v>
      </c>
      <c r="G22" s="111" t="s">
        <v>111</v>
      </c>
      <c r="H22" s="112"/>
    </row>
    <row r="23" spans="1:8" ht="27" x14ac:dyDescent="0.45">
      <c r="A23" s="106">
        <v>17</v>
      </c>
      <c r="B23" s="335">
        <v>651201117</v>
      </c>
      <c r="C23" s="130"/>
      <c r="D23" s="336" t="s">
        <v>317</v>
      </c>
      <c r="E23" s="110">
        <v>79.97</v>
      </c>
      <c r="F23" s="110">
        <v>418.06</v>
      </c>
      <c r="G23" s="111" t="s">
        <v>110</v>
      </c>
      <c r="H23" s="112"/>
    </row>
    <row r="24" spans="1:8" ht="27" x14ac:dyDescent="0.45">
      <c r="A24" s="106">
        <v>18</v>
      </c>
      <c r="B24" s="337">
        <v>651201118</v>
      </c>
      <c r="C24" s="130"/>
      <c r="D24" s="338" t="s">
        <v>234</v>
      </c>
      <c r="E24" s="110">
        <v>83.6</v>
      </c>
      <c r="F24" s="110">
        <v>488.18</v>
      </c>
      <c r="G24" s="111" t="s">
        <v>111</v>
      </c>
      <c r="H24" s="112"/>
    </row>
    <row r="25" spans="1:8" ht="27" x14ac:dyDescent="0.45">
      <c r="A25" s="106">
        <v>19</v>
      </c>
      <c r="B25" s="337">
        <v>651201119</v>
      </c>
      <c r="C25" s="130"/>
      <c r="D25" s="338" t="s">
        <v>235</v>
      </c>
      <c r="E25" s="110">
        <v>89.59</v>
      </c>
      <c r="F25" s="110">
        <v>624.36</v>
      </c>
      <c r="G25" s="111" t="s">
        <v>8</v>
      </c>
      <c r="H25" s="112"/>
    </row>
    <row r="26" spans="1:8" ht="27" x14ac:dyDescent="0.45">
      <c r="A26" s="106">
        <v>20</v>
      </c>
      <c r="B26" s="337">
        <v>651201120</v>
      </c>
      <c r="C26" s="130"/>
      <c r="D26" s="338" t="s">
        <v>236</v>
      </c>
      <c r="E26" s="110">
        <v>84.6</v>
      </c>
      <c r="F26" s="110">
        <v>532.88</v>
      </c>
      <c r="G26" s="111" t="s">
        <v>111</v>
      </c>
      <c r="H26" s="112"/>
    </row>
    <row r="27" spans="1:8" ht="27" x14ac:dyDescent="0.45">
      <c r="A27" s="106">
        <v>21</v>
      </c>
      <c r="B27" s="337">
        <v>651201121</v>
      </c>
      <c r="C27" s="130"/>
      <c r="D27" s="338" t="s">
        <v>237</v>
      </c>
      <c r="E27" s="110">
        <v>90.91</v>
      </c>
      <c r="F27" s="110">
        <v>657.11</v>
      </c>
      <c r="G27" s="111" t="s">
        <v>8</v>
      </c>
      <c r="H27" s="112"/>
    </row>
    <row r="28" spans="1:8" ht="27" x14ac:dyDescent="0.45">
      <c r="A28" s="106">
        <v>22</v>
      </c>
      <c r="B28" s="337">
        <v>651201122</v>
      </c>
      <c r="C28" s="130"/>
      <c r="D28" s="338" t="s">
        <v>238</v>
      </c>
      <c r="E28" s="110">
        <v>86.62</v>
      </c>
      <c r="F28" s="110">
        <v>562.12</v>
      </c>
      <c r="G28" s="111" t="s">
        <v>8</v>
      </c>
      <c r="H28" s="112"/>
    </row>
    <row r="29" spans="1:8" ht="27" x14ac:dyDescent="0.45">
      <c r="A29" s="106">
        <v>23</v>
      </c>
      <c r="B29" s="337">
        <v>651201123</v>
      </c>
      <c r="C29" s="130"/>
      <c r="D29" s="338" t="s">
        <v>239</v>
      </c>
      <c r="E29" s="110">
        <v>83.23</v>
      </c>
      <c r="F29" s="110">
        <v>481.12</v>
      </c>
      <c r="G29" s="111" t="s">
        <v>111</v>
      </c>
      <c r="H29" s="112"/>
    </row>
    <row r="30" spans="1:8" ht="28" thickBot="1" x14ac:dyDescent="0.5">
      <c r="A30" s="106">
        <v>24</v>
      </c>
      <c r="B30" s="339">
        <v>651201124</v>
      </c>
      <c r="C30" s="130"/>
      <c r="D30" s="340" t="s">
        <v>240</v>
      </c>
      <c r="E30" s="110">
        <v>79.91</v>
      </c>
      <c r="F30" s="110">
        <v>415.43</v>
      </c>
      <c r="G30" s="111" t="s">
        <v>110</v>
      </c>
      <c r="H30" s="112"/>
    </row>
    <row r="31" spans="1:8" ht="27" x14ac:dyDescent="0.45">
      <c r="A31" s="106">
        <v>25</v>
      </c>
      <c r="B31" s="306">
        <v>651201125</v>
      </c>
      <c r="C31" s="130"/>
      <c r="D31" s="306" t="s">
        <v>241</v>
      </c>
      <c r="E31" s="110">
        <v>78.540000000000006</v>
      </c>
      <c r="F31" s="110">
        <v>446.92</v>
      </c>
      <c r="G31" s="111" t="s">
        <v>110</v>
      </c>
      <c r="H31" s="112"/>
    </row>
    <row r="32" spans="1:8" ht="27" x14ac:dyDescent="0.45">
      <c r="A32" s="106">
        <v>26</v>
      </c>
      <c r="B32" s="283">
        <v>651201126</v>
      </c>
      <c r="C32" s="130"/>
      <c r="D32" s="283" t="s">
        <v>242</v>
      </c>
      <c r="E32" s="110">
        <v>82.13</v>
      </c>
      <c r="F32" s="110">
        <v>508.83</v>
      </c>
      <c r="G32" s="111" t="s">
        <v>111</v>
      </c>
      <c r="H32" s="112"/>
    </row>
    <row r="33" spans="1:8" ht="27" x14ac:dyDescent="0.45">
      <c r="A33" s="106">
        <v>27</v>
      </c>
      <c r="B33" s="283">
        <v>651201127</v>
      </c>
      <c r="C33" s="130"/>
      <c r="D33" s="283" t="s">
        <v>243</v>
      </c>
      <c r="E33" s="110">
        <v>83.11</v>
      </c>
      <c r="F33" s="110">
        <v>522.66</v>
      </c>
      <c r="G33" s="111" t="s">
        <v>111</v>
      </c>
      <c r="H33" s="112"/>
    </row>
    <row r="34" spans="1:8" ht="27" x14ac:dyDescent="0.45">
      <c r="A34" s="106">
        <v>28</v>
      </c>
      <c r="B34" s="283">
        <v>651201128</v>
      </c>
      <c r="C34" s="130"/>
      <c r="D34" s="283" t="s">
        <v>244</v>
      </c>
      <c r="E34" s="110">
        <v>90.85</v>
      </c>
      <c r="F34" s="110">
        <v>644.23</v>
      </c>
      <c r="G34" s="111" t="s">
        <v>8</v>
      </c>
      <c r="H34" s="112"/>
    </row>
    <row r="35" spans="1:8" ht="27" x14ac:dyDescent="0.45">
      <c r="A35" s="106">
        <v>29</v>
      </c>
      <c r="B35" s="283">
        <v>651201129</v>
      </c>
      <c r="C35" s="130"/>
      <c r="D35" s="283" t="s">
        <v>245</v>
      </c>
      <c r="E35" s="110">
        <v>77.150000000000006</v>
      </c>
      <c r="F35" s="110">
        <v>432.7</v>
      </c>
      <c r="G35" s="111" t="s">
        <v>110</v>
      </c>
      <c r="H35" s="112"/>
    </row>
    <row r="36" spans="1:8" ht="27" x14ac:dyDescent="0.45">
      <c r="A36" s="106">
        <v>30</v>
      </c>
      <c r="B36" s="283">
        <v>651201130</v>
      </c>
      <c r="C36" s="130"/>
      <c r="D36" s="283" t="s">
        <v>246</v>
      </c>
      <c r="E36" s="110">
        <v>88.08</v>
      </c>
      <c r="F36" s="110">
        <v>606.15</v>
      </c>
      <c r="G36" s="111" t="s">
        <v>8</v>
      </c>
      <c r="H36" s="112"/>
    </row>
    <row r="37" spans="1:8" ht="27" x14ac:dyDescent="0.45">
      <c r="A37" s="106">
        <v>31</v>
      </c>
      <c r="B37" s="283">
        <v>651201131</v>
      </c>
      <c r="C37" s="130"/>
      <c r="D37" s="283" t="s">
        <v>247</v>
      </c>
      <c r="E37" s="110">
        <v>78.55</v>
      </c>
      <c r="F37" s="110">
        <v>454.16</v>
      </c>
      <c r="G37" s="111" t="s">
        <v>110</v>
      </c>
      <c r="H37" s="112"/>
    </row>
    <row r="38" spans="1:8" ht="28" thickBot="1" x14ac:dyDescent="0.5">
      <c r="A38" s="106">
        <v>32</v>
      </c>
      <c r="B38" s="307">
        <v>651201132</v>
      </c>
      <c r="C38" s="130"/>
      <c r="D38" s="307" t="s">
        <v>248</v>
      </c>
      <c r="E38" s="110">
        <v>86.83</v>
      </c>
      <c r="F38" s="110">
        <v>578.1</v>
      </c>
      <c r="G38" s="111" t="s">
        <v>8</v>
      </c>
      <c r="H38" s="112"/>
    </row>
    <row r="39" spans="1:8" ht="27" x14ac:dyDescent="0.45">
      <c r="A39" s="106">
        <v>33</v>
      </c>
      <c r="B39" s="308">
        <v>651201133</v>
      </c>
      <c r="C39" s="128"/>
      <c r="D39" s="320" t="s">
        <v>249</v>
      </c>
      <c r="E39" s="110">
        <v>79.33</v>
      </c>
      <c r="F39" s="110">
        <v>442.88</v>
      </c>
      <c r="G39" s="111" t="s">
        <v>110</v>
      </c>
      <c r="H39" s="112"/>
    </row>
    <row r="40" spans="1:8" ht="27" x14ac:dyDescent="0.45">
      <c r="A40" s="106">
        <v>34</v>
      </c>
      <c r="B40" s="309">
        <v>651201134</v>
      </c>
      <c r="C40" s="128"/>
      <c r="D40" s="284" t="s">
        <v>250</v>
      </c>
      <c r="E40" s="110">
        <v>87.25</v>
      </c>
      <c r="F40" s="110">
        <v>641.26</v>
      </c>
      <c r="G40" s="111" t="s">
        <v>8</v>
      </c>
      <c r="H40" s="112"/>
    </row>
    <row r="41" spans="1:8" ht="27" x14ac:dyDescent="0.45">
      <c r="A41" s="106">
        <v>35</v>
      </c>
      <c r="B41" s="309">
        <v>651201135</v>
      </c>
      <c r="C41" s="128"/>
      <c r="D41" s="284" t="s">
        <v>251</v>
      </c>
      <c r="E41" s="110">
        <v>81.739999999999995</v>
      </c>
      <c r="F41" s="110">
        <v>497.87</v>
      </c>
      <c r="G41" s="111" t="s">
        <v>111</v>
      </c>
      <c r="H41" s="112"/>
    </row>
    <row r="42" spans="1:8" ht="27" x14ac:dyDescent="0.45">
      <c r="A42" s="106">
        <v>36</v>
      </c>
      <c r="B42" s="309">
        <v>651201136</v>
      </c>
      <c r="C42" s="128"/>
      <c r="D42" s="284" t="s">
        <v>252</v>
      </c>
      <c r="E42" s="110">
        <v>80.489999999999995</v>
      </c>
      <c r="F42" s="110">
        <v>452.56</v>
      </c>
      <c r="G42" s="111" t="s">
        <v>111</v>
      </c>
      <c r="H42" s="112"/>
    </row>
    <row r="43" spans="1:8" ht="27" x14ac:dyDescent="0.45">
      <c r="A43" s="106">
        <v>37</v>
      </c>
      <c r="B43" s="309">
        <v>651201137</v>
      </c>
      <c r="C43" s="128"/>
      <c r="D43" s="284" t="s">
        <v>253</v>
      </c>
      <c r="E43" s="110">
        <v>84.73</v>
      </c>
      <c r="F43" s="110">
        <v>578.01</v>
      </c>
      <c r="G43" s="111" t="s">
        <v>111</v>
      </c>
      <c r="H43" s="112"/>
    </row>
    <row r="44" spans="1:8" ht="27" x14ac:dyDescent="0.45">
      <c r="A44" s="106">
        <v>38</v>
      </c>
      <c r="B44" s="309">
        <v>651201138</v>
      </c>
      <c r="C44" s="128"/>
      <c r="D44" s="284" t="s">
        <v>254</v>
      </c>
      <c r="E44" s="110">
        <v>85.11</v>
      </c>
      <c r="F44" s="110">
        <v>582.91999999999996</v>
      </c>
      <c r="G44" s="111" t="s">
        <v>8</v>
      </c>
      <c r="H44" s="112"/>
    </row>
    <row r="45" spans="1:8" ht="27" x14ac:dyDescent="0.45">
      <c r="A45" s="106">
        <v>39</v>
      </c>
      <c r="B45" s="309">
        <v>651201139</v>
      </c>
      <c r="C45" s="128"/>
      <c r="D45" s="284" t="s">
        <v>255</v>
      </c>
      <c r="E45" s="110">
        <v>79.64</v>
      </c>
      <c r="F45" s="110">
        <v>409.36</v>
      </c>
      <c r="G45" s="111" t="s">
        <v>110</v>
      </c>
      <c r="H45" s="112"/>
    </row>
    <row r="46" spans="1:8" ht="28" thickBot="1" x14ac:dyDescent="0.5">
      <c r="A46" s="106">
        <v>40</v>
      </c>
      <c r="B46" s="310">
        <v>651201140</v>
      </c>
      <c r="C46" s="128"/>
      <c r="D46" s="321" t="s">
        <v>256</v>
      </c>
      <c r="E46" s="110">
        <v>85.01</v>
      </c>
      <c r="F46" s="110">
        <v>573.54999999999995</v>
      </c>
      <c r="G46" s="111" t="s">
        <v>8</v>
      </c>
      <c r="H46" s="112"/>
    </row>
    <row r="47" spans="1:8" ht="27" x14ac:dyDescent="0.45">
      <c r="A47" s="106">
        <v>41</v>
      </c>
      <c r="B47" s="341">
        <v>651201141</v>
      </c>
      <c r="C47" s="342"/>
      <c r="D47" s="341" t="s">
        <v>257</v>
      </c>
      <c r="E47" s="110">
        <v>84.03</v>
      </c>
      <c r="F47" s="110">
        <v>551.02</v>
      </c>
      <c r="G47" s="111" t="s">
        <v>111</v>
      </c>
      <c r="H47" s="112"/>
    </row>
    <row r="48" spans="1:8" ht="27" x14ac:dyDescent="0.45">
      <c r="A48" s="106">
        <v>42</v>
      </c>
      <c r="B48" s="343">
        <v>651201142</v>
      </c>
      <c r="C48" s="342"/>
      <c r="D48" s="343" t="s">
        <v>258</v>
      </c>
      <c r="E48" s="110">
        <v>88.95</v>
      </c>
      <c r="F48" s="110">
        <v>630.11</v>
      </c>
      <c r="G48" s="111" t="s">
        <v>8</v>
      </c>
      <c r="H48" s="112"/>
    </row>
    <row r="49" spans="1:8" ht="27" x14ac:dyDescent="0.45">
      <c r="A49" s="106">
        <v>43</v>
      </c>
      <c r="B49" s="343">
        <v>651201143</v>
      </c>
      <c r="C49" s="342"/>
      <c r="D49" s="343" t="s">
        <v>259</v>
      </c>
      <c r="E49" s="110">
        <v>87.76</v>
      </c>
      <c r="F49" s="110">
        <v>608.65</v>
      </c>
      <c r="G49" s="111" t="s">
        <v>8</v>
      </c>
      <c r="H49" s="112"/>
    </row>
    <row r="50" spans="1:8" ht="27" x14ac:dyDescent="0.45">
      <c r="A50" s="106">
        <v>44</v>
      </c>
      <c r="B50" s="344">
        <v>651201144</v>
      </c>
      <c r="C50" s="342"/>
      <c r="D50" s="344" t="s">
        <v>260</v>
      </c>
      <c r="E50" s="110">
        <v>83.27</v>
      </c>
      <c r="F50" s="110">
        <v>550.13</v>
      </c>
      <c r="G50" s="111" t="s">
        <v>111</v>
      </c>
      <c r="H50" s="112"/>
    </row>
    <row r="51" spans="1:8" ht="27" x14ac:dyDescent="0.45">
      <c r="A51" s="106">
        <v>45</v>
      </c>
      <c r="B51" s="345">
        <v>651201145</v>
      </c>
      <c r="C51" s="342"/>
      <c r="D51" s="345" t="s">
        <v>261</v>
      </c>
      <c r="E51" s="110">
        <v>77.680000000000007</v>
      </c>
      <c r="F51" s="110">
        <v>440.55</v>
      </c>
      <c r="G51" s="111" t="s">
        <v>110</v>
      </c>
      <c r="H51" s="112"/>
    </row>
    <row r="52" spans="1:8" ht="27" x14ac:dyDescent="0.45">
      <c r="A52" s="106">
        <v>46</v>
      </c>
      <c r="B52" s="345">
        <v>651201146</v>
      </c>
      <c r="C52" s="342"/>
      <c r="D52" s="345" t="s">
        <v>262</v>
      </c>
      <c r="E52" s="110">
        <v>78.69</v>
      </c>
      <c r="F52" s="110">
        <v>457.47</v>
      </c>
      <c r="G52" s="111" t="s">
        <v>110</v>
      </c>
      <c r="H52" s="112"/>
    </row>
    <row r="53" spans="1:8" ht="27" x14ac:dyDescent="0.45">
      <c r="A53" s="106">
        <v>47</v>
      </c>
      <c r="B53" s="345">
        <v>651201147</v>
      </c>
      <c r="C53" s="342"/>
      <c r="D53" s="345" t="s">
        <v>263</v>
      </c>
      <c r="E53" s="110">
        <v>76.53</v>
      </c>
      <c r="F53" s="110">
        <v>436.92</v>
      </c>
      <c r="G53" s="111" t="s">
        <v>110</v>
      </c>
      <c r="H53" s="112"/>
    </row>
    <row r="54" spans="1:8" ht="27" x14ac:dyDescent="0.45">
      <c r="A54" s="106">
        <v>48</v>
      </c>
      <c r="B54" s="344">
        <v>651201148</v>
      </c>
      <c r="C54" s="342"/>
      <c r="D54" s="344" t="s">
        <v>264</v>
      </c>
      <c r="E54" s="110">
        <v>83.76</v>
      </c>
      <c r="F54" s="110">
        <v>533.15</v>
      </c>
      <c r="G54" s="111" t="s">
        <v>111</v>
      </c>
      <c r="H54" s="112"/>
    </row>
    <row r="55" spans="1:8" ht="27" x14ac:dyDescent="0.45">
      <c r="A55" s="106">
        <v>49</v>
      </c>
      <c r="B55" s="346">
        <v>651201149</v>
      </c>
      <c r="C55" s="129"/>
      <c r="D55" s="346" t="s">
        <v>265</v>
      </c>
      <c r="E55" s="110">
        <v>89.6</v>
      </c>
      <c r="F55" s="110">
        <v>646.65</v>
      </c>
      <c r="G55" s="111" t="s">
        <v>8</v>
      </c>
      <c r="H55" s="112"/>
    </row>
    <row r="56" spans="1:8" ht="27" x14ac:dyDescent="0.45">
      <c r="A56" s="106">
        <v>50</v>
      </c>
      <c r="B56" s="346">
        <v>651201150</v>
      </c>
      <c r="C56" s="129"/>
      <c r="D56" s="346" t="s">
        <v>266</v>
      </c>
      <c r="E56" s="110">
        <v>75.83</v>
      </c>
      <c r="F56" s="110">
        <v>434.8</v>
      </c>
      <c r="G56" s="111" t="s">
        <v>110</v>
      </c>
      <c r="H56" s="112"/>
    </row>
    <row r="57" spans="1:8" ht="27" x14ac:dyDescent="0.45">
      <c r="A57" s="106">
        <v>51</v>
      </c>
      <c r="B57" s="346">
        <v>651201151</v>
      </c>
      <c r="C57" s="129"/>
      <c r="D57" s="346" t="s">
        <v>267</v>
      </c>
      <c r="E57" s="110">
        <v>82.12</v>
      </c>
      <c r="F57" s="110">
        <v>505</v>
      </c>
      <c r="G57" s="111" t="s">
        <v>111</v>
      </c>
      <c r="H57" s="112"/>
    </row>
    <row r="58" spans="1:8" ht="27" x14ac:dyDescent="0.45">
      <c r="A58" s="106">
        <v>52</v>
      </c>
      <c r="B58" s="346">
        <v>651201152</v>
      </c>
      <c r="C58" s="129"/>
      <c r="D58" s="346" t="s">
        <v>268</v>
      </c>
      <c r="E58" s="110">
        <v>90.12</v>
      </c>
      <c r="F58" s="110">
        <v>651.58000000000004</v>
      </c>
      <c r="G58" s="111" t="s">
        <v>8</v>
      </c>
      <c r="H58" s="112"/>
    </row>
    <row r="59" spans="1:8" ht="27" x14ac:dyDescent="0.45">
      <c r="A59" s="106">
        <v>53</v>
      </c>
      <c r="B59" s="346">
        <v>651201153</v>
      </c>
      <c r="C59" s="129"/>
      <c r="D59" s="346" t="s">
        <v>269</v>
      </c>
      <c r="E59" s="110">
        <v>79.260000000000005</v>
      </c>
      <c r="F59" s="110">
        <v>456.19</v>
      </c>
      <c r="G59" s="111" t="s">
        <v>110</v>
      </c>
      <c r="H59" s="112"/>
    </row>
    <row r="60" spans="1:8" ht="27" x14ac:dyDescent="0.45">
      <c r="A60" s="106">
        <v>54</v>
      </c>
      <c r="B60" s="346">
        <v>651201154</v>
      </c>
      <c r="C60" s="129"/>
      <c r="D60" s="346" t="s">
        <v>270</v>
      </c>
      <c r="E60" s="110">
        <v>78.010000000000005</v>
      </c>
      <c r="F60" s="110">
        <v>448.16</v>
      </c>
      <c r="G60" s="111" t="s">
        <v>110</v>
      </c>
      <c r="H60" s="112"/>
    </row>
    <row r="61" spans="1:8" ht="27" x14ac:dyDescent="0.45">
      <c r="A61" s="106">
        <v>55</v>
      </c>
      <c r="B61" s="346">
        <v>651201155</v>
      </c>
      <c r="C61" s="129"/>
      <c r="D61" s="346" t="s">
        <v>271</v>
      </c>
      <c r="E61" s="110">
        <v>81.67</v>
      </c>
      <c r="F61" s="110">
        <v>515.59</v>
      </c>
      <c r="G61" s="111" t="s">
        <v>111</v>
      </c>
      <c r="H61" s="112"/>
    </row>
    <row r="62" spans="1:8" ht="27" x14ac:dyDescent="0.45">
      <c r="A62" s="106">
        <v>56</v>
      </c>
      <c r="B62" s="346">
        <v>651201156</v>
      </c>
      <c r="C62" s="129"/>
      <c r="D62" s="346" t="s">
        <v>272</v>
      </c>
      <c r="E62" s="110">
        <v>84.35</v>
      </c>
      <c r="F62" s="110">
        <v>563.94000000000005</v>
      </c>
      <c r="G62" s="111" t="s">
        <v>111</v>
      </c>
      <c r="H62" s="112"/>
    </row>
    <row r="63" spans="1:8" ht="27" x14ac:dyDescent="0.45">
      <c r="A63" s="106">
        <v>57</v>
      </c>
      <c r="B63" s="347">
        <v>651201157</v>
      </c>
      <c r="C63" s="348"/>
      <c r="D63" s="347" t="s">
        <v>273</v>
      </c>
      <c r="E63" s="110">
        <v>83.39</v>
      </c>
      <c r="F63" s="110">
        <v>565.6</v>
      </c>
      <c r="G63" s="111" t="s">
        <v>111</v>
      </c>
      <c r="H63" s="112"/>
    </row>
    <row r="64" spans="1:8" s="355" customFormat="1" ht="27" x14ac:dyDescent="0.45">
      <c r="A64" s="350">
        <v>58</v>
      </c>
      <c r="B64" s="295">
        <v>651201158</v>
      </c>
      <c r="C64" s="351"/>
      <c r="D64" s="295" t="s">
        <v>274</v>
      </c>
      <c r="E64" s="352">
        <v>0</v>
      </c>
      <c r="F64" s="352">
        <v>0</v>
      </c>
      <c r="G64" s="353" t="s">
        <v>135</v>
      </c>
      <c r="H64" s="354"/>
    </row>
    <row r="65" spans="1:8" ht="27" x14ac:dyDescent="0.45">
      <c r="A65" s="106">
        <v>59</v>
      </c>
      <c r="B65" s="347">
        <v>651201159</v>
      </c>
      <c r="C65" s="348"/>
      <c r="D65" s="347" t="s">
        <v>275</v>
      </c>
      <c r="E65" s="110">
        <v>83.06</v>
      </c>
      <c r="F65" s="110">
        <v>554.25</v>
      </c>
      <c r="G65" s="111" t="s">
        <v>111</v>
      </c>
      <c r="H65" s="112"/>
    </row>
    <row r="66" spans="1:8" ht="27" x14ac:dyDescent="0.45">
      <c r="A66" s="106">
        <v>60</v>
      </c>
      <c r="B66" s="347">
        <v>651201160</v>
      </c>
      <c r="C66" s="348"/>
      <c r="D66" s="347" t="s">
        <v>276</v>
      </c>
      <c r="E66" s="110">
        <v>76.709999999999994</v>
      </c>
      <c r="F66" s="110">
        <v>479.44</v>
      </c>
      <c r="G66" s="111" t="s">
        <v>110</v>
      </c>
    </row>
    <row r="67" spans="1:8" ht="27" x14ac:dyDescent="0.45">
      <c r="A67" s="106">
        <v>61</v>
      </c>
      <c r="B67" s="347">
        <v>651201161</v>
      </c>
      <c r="C67" s="348"/>
      <c r="D67" s="347" t="s">
        <v>277</v>
      </c>
      <c r="E67" s="110">
        <v>81.08</v>
      </c>
      <c r="F67" s="110">
        <v>535.51</v>
      </c>
      <c r="G67" s="111" t="s">
        <v>111</v>
      </c>
      <c r="H67" s="113"/>
    </row>
    <row r="68" spans="1:8" ht="27" x14ac:dyDescent="0.45">
      <c r="A68" s="106">
        <v>62</v>
      </c>
      <c r="B68" s="347">
        <v>651201162</v>
      </c>
      <c r="C68" s="348"/>
      <c r="D68" s="347" t="s">
        <v>278</v>
      </c>
      <c r="E68" s="110">
        <v>70.05</v>
      </c>
      <c r="F68" s="110">
        <v>397.23</v>
      </c>
      <c r="G68" s="111" t="s">
        <v>131</v>
      </c>
    </row>
    <row r="69" spans="1:8" ht="27" x14ac:dyDescent="0.45">
      <c r="A69" s="106">
        <v>63</v>
      </c>
      <c r="B69" s="347">
        <v>651201163</v>
      </c>
      <c r="C69" s="348"/>
      <c r="D69" s="347" t="s">
        <v>279</v>
      </c>
      <c r="E69" s="110">
        <v>81.81</v>
      </c>
      <c r="F69" s="110">
        <v>535.97</v>
      </c>
      <c r="G69" s="111" t="s">
        <v>111</v>
      </c>
    </row>
    <row r="70" spans="1:8" ht="28" thickBot="1" x14ac:dyDescent="0.5">
      <c r="A70" s="106">
        <v>64</v>
      </c>
      <c r="B70" s="349">
        <v>651201164</v>
      </c>
      <c r="C70" s="348"/>
      <c r="D70" s="349" t="s">
        <v>280</v>
      </c>
      <c r="E70" s="110">
        <v>85.11</v>
      </c>
      <c r="F70" s="110">
        <v>580.88</v>
      </c>
      <c r="G70" s="111" t="s">
        <v>8</v>
      </c>
    </row>
    <row r="71" spans="1:8" ht="27" x14ac:dyDescent="0.45">
      <c r="A71" s="106">
        <v>65</v>
      </c>
      <c r="B71" s="311">
        <v>651201165</v>
      </c>
      <c r="C71" s="198"/>
      <c r="D71" s="322" t="s">
        <v>281</v>
      </c>
      <c r="E71" s="110">
        <v>78.39</v>
      </c>
      <c r="F71" s="110">
        <v>519.64</v>
      </c>
      <c r="G71" s="111" t="s">
        <v>110</v>
      </c>
    </row>
    <row r="72" spans="1:8" ht="27" x14ac:dyDescent="0.45">
      <c r="A72" s="106">
        <v>66</v>
      </c>
      <c r="B72" s="312">
        <v>651201166</v>
      </c>
      <c r="C72" s="198"/>
      <c r="D72" s="297" t="s">
        <v>282</v>
      </c>
      <c r="E72" s="110">
        <v>76.47</v>
      </c>
      <c r="F72" s="110">
        <v>499.49</v>
      </c>
      <c r="G72" s="111" t="s">
        <v>110</v>
      </c>
    </row>
    <row r="73" spans="1:8" ht="27" x14ac:dyDescent="0.45">
      <c r="A73" s="106">
        <v>67</v>
      </c>
      <c r="B73" s="312">
        <v>651201167</v>
      </c>
      <c r="C73" s="198"/>
      <c r="D73" s="297" t="s">
        <v>283</v>
      </c>
      <c r="E73" s="110">
        <v>80.569999999999993</v>
      </c>
      <c r="F73" s="110">
        <v>557.1</v>
      </c>
      <c r="G73" s="111" t="s">
        <v>111</v>
      </c>
    </row>
    <row r="74" spans="1:8" ht="27" x14ac:dyDescent="0.45">
      <c r="A74" s="106">
        <v>68</v>
      </c>
      <c r="B74" s="312">
        <v>651201169</v>
      </c>
      <c r="C74" s="198"/>
      <c r="D74" s="297" t="s">
        <v>284</v>
      </c>
      <c r="E74" s="110">
        <v>73.58</v>
      </c>
      <c r="F74" s="110">
        <v>451.21</v>
      </c>
      <c r="G74" s="111" t="s">
        <v>131</v>
      </c>
    </row>
    <row r="75" spans="1:8" ht="27" x14ac:dyDescent="0.45">
      <c r="A75" s="106">
        <v>69</v>
      </c>
      <c r="B75" s="312">
        <v>651201170</v>
      </c>
      <c r="C75" s="198"/>
      <c r="D75" s="297" t="s">
        <v>285</v>
      </c>
      <c r="E75" s="110">
        <v>88.58</v>
      </c>
      <c r="F75" s="110">
        <v>660.14</v>
      </c>
      <c r="G75" s="111" t="s">
        <v>8</v>
      </c>
    </row>
    <row r="76" spans="1:8" ht="27" x14ac:dyDescent="0.45">
      <c r="A76" s="106">
        <v>70</v>
      </c>
      <c r="B76" s="312">
        <v>651201171</v>
      </c>
      <c r="C76" s="198"/>
      <c r="D76" s="297" t="s">
        <v>286</v>
      </c>
      <c r="E76" s="110">
        <v>74.959999999999994</v>
      </c>
      <c r="F76" s="110">
        <v>472.31</v>
      </c>
      <c r="G76" s="111" t="s">
        <v>131</v>
      </c>
    </row>
    <row r="77" spans="1:8" ht="27" x14ac:dyDescent="0.45">
      <c r="A77" s="106">
        <v>71</v>
      </c>
      <c r="B77" s="312">
        <v>651201172</v>
      </c>
      <c r="C77" s="198"/>
      <c r="D77" s="297" t="s">
        <v>287</v>
      </c>
      <c r="E77" s="110">
        <v>75.959999999999994</v>
      </c>
      <c r="F77" s="110">
        <v>482.87</v>
      </c>
      <c r="G77" s="111" t="s">
        <v>110</v>
      </c>
    </row>
    <row r="78" spans="1:8" ht="27" x14ac:dyDescent="0.45">
      <c r="A78" s="106">
        <v>72</v>
      </c>
      <c r="B78" s="312">
        <v>651201173</v>
      </c>
      <c r="C78" s="198"/>
      <c r="D78" s="297" t="s">
        <v>288</v>
      </c>
      <c r="E78" s="110">
        <v>83.4</v>
      </c>
      <c r="F78" s="110">
        <v>594.38</v>
      </c>
      <c r="G78" s="111" t="s">
        <v>111</v>
      </c>
    </row>
    <row r="79" spans="1:8" ht="28" thickBot="1" x14ac:dyDescent="0.5">
      <c r="A79" s="106">
        <v>73</v>
      </c>
      <c r="B79" s="313">
        <v>651201174</v>
      </c>
      <c r="C79" s="199"/>
      <c r="D79" s="323" t="s">
        <v>289</v>
      </c>
      <c r="E79" s="110">
        <v>75.790000000000006</v>
      </c>
      <c r="F79" s="110">
        <v>477.86</v>
      </c>
      <c r="G79" s="111" t="s">
        <v>110</v>
      </c>
    </row>
    <row r="80" spans="1:8" ht="27" x14ac:dyDescent="0.45">
      <c r="A80" s="106">
        <v>74</v>
      </c>
      <c r="B80" s="314">
        <v>651201175</v>
      </c>
      <c r="C80" s="199"/>
      <c r="D80" s="314" t="s">
        <v>290</v>
      </c>
      <c r="E80" s="110">
        <v>78.760000000000005</v>
      </c>
      <c r="F80" s="110">
        <v>361.49</v>
      </c>
      <c r="G80" s="111" t="s">
        <v>110</v>
      </c>
    </row>
    <row r="81" spans="1:7" ht="27" x14ac:dyDescent="0.45">
      <c r="A81" s="106">
        <v>75</v>
      </c>
      <c r="B81" s="299">
        <v>651201176</v>
      </c>
      <c r="C81" s="199"/>
      <c r="D81" s="299" t="s">
        <v>291</v>
      </c>
      <c r="E81" s="110">
        <v>84.67</v>
      </c>
      <c r="F81" s="110">
        <v>556.22</v>
      </c>
      <c r="G81" s="111" t="s">
        <v>111</v>
      </c>
    </row>
    <row r="82" spans="1:7" ht="27" x14ac:dyDescent="0.45">
      <c r="A82" s="106">
        <v>76</v>
      </c>
      <c r="B82" s="299">
        <v>651201177</v>
      </c>
      <c r="C82" s="199"/>
      <c r="D82" s="299" t="s">
        <v>292</v>
      </c>
      <c r="E82" s="110">
        <v>84.7</v>
      </c>
      <c r="F82" s="110">
        <v>544.45000000000005</v>
      </c>
      <c r="G82" s="111" t="s">
        <v>111</v>
      </c>
    </row>
    <row r="83" spans="1:7" ht="27" x14ac:dyDescent="0.45">
      <c r="A83" s="106">
        <v>77</v>
      </c>
      <c r="B83" s="299">
        <v>651201178</v>
      </c>
      <c r="C83" s="199"/>
      <c r="D83" s="299" t="s">
        <v>293</v>
      </c>
      <c r="E83" s="110">
        <v>84.93</v>
      </c>
      <c r="F83" s="110">
        <v>534.54999999999995</v>
      </c>
      <c r="G83" s="111" t="s">
        <v>111</v>
      </c>
    </row>
    <row r="84" spans="1:7" ht="27" x14ac:dyDescent="0.45">
      <c r="A84" s="106">
        <v>78</v>
      </c>
      <c r="B84" s="299">
        <v>651201179</v>
      </c>
      <c r="C84" s="199"/>
      <c r="D84" s="299" t="s">
        <v>294</v>
      </c>
      <c r="E84" s="110">
        <v>83.78</v>
      </c>
      <c r="F84" s="110">
        <v>540.76</v>
      </c>
      <c r="G84" s="111" t="s">
        <v>111</v>
      </c>
    </row>
    <row r="85" spans="1:7" ht="27" x14ac:dyDescent="0.45">
      <c r="A85" s="106">
        <v>79</v>
      </c>
      <c r="B85" s="299">
        <v>651201180</v>
      </c>
      <c r="C85" s="199"/>
      <c r="D85" s="299" t="s">
        <v>295</v>
      </c>
      <c r="E85" s="110">
        <v>87.05</v>
      </c>
      <c r="F85" s="110">
        <v>625.64</v>
      </c>
      <c r="G85" s="111" t="s">
        <v>8</v>
      </c>
    </row>
    <row r="86" spans="1:7" ht="27" x14ac:dyDescent="0.45">
      <c r="A86" s="106">
        <v>80</v>
      </c>
      <c r="B86" s="299">
        <v>651201181</v>
      </c>
      <c r="C86" s="199"/>
      <c r="D86" s="299" t="s">
        <v>296</v>
      </c>
      <c r="E86" s="110">
        <v>84.63</v>
      </c>
      <c r="F86" s="110">
        <v>549.20000000000005</v>
      </c>
      <c r="G86" s="111" t="s">
        <v>111</v>
      </c>
    </row>
    <row r="87" spans="1:7" ht="27" x14ac:dyDescent="0.45">
      <c r="A87" s="106">
        <v>81</v>
      </c>
      <c r="B87" s="299">
        <v>651201182</v>
      </c>
      <c r="C87" s="200"/>
      <c r="D87" s="299" t="s">
        <v>297</v>
      </c>
      <c r="E87" s="110">
        <v>79.73</v>
      </c>
      <c r="F87" s="110">
        <v>447.51</v>
      </c>
      <c r="G87" s="111" t="s">
        <v>110</v>
      </c>
    </row>
    <row r="88" spans="1:7" ht="28" thickBot="1" x14ac:dyDescent="0.5">
      <c r="A88" s="106">
        <v>82</v>
      </c>
      <c r="B88" s="315">
        <v>651201183</v>
      </c>
      <c r="C88" s="200"/>
      <c r="D88" s="315" t="s">
        <v>298</v>
      </c>
      <c r="E88" s="110">
        <v>85.38</v>
      </c>
      <c r="F88" s="110">
        <v>550.24</v>
      </c>
      <c r="G88" s="111" t="s">
        <v>8</v>
      </c>
    </row>
    <row r="89" spans="1:7" ht="27" x14ac:dyDescent="0.45">
      <c r="A89" s="106">
        <v>83</v>
      </c>
      <c r="B89" s="316">
        <v>651201184</v>
      </c>
      <c r="C89" s="200"/>
      <c r="D89" s="324" t="s">
        <v>299</v>
      </c>
      <c r="E89" s="110">
        <v>91.66</v>
      </c>
      <c r="F89" s="110">
        <v>666.16</v>
      </c>
      <c r="G89" s="111" t="s">
        <v>8</v>
      </c>
    </row>
    <row r="90" spans="1:7" ht="27" x14ac:dyDescent="0.45">
      <c r="A90" s="106">
        <v>84</v>
      </c>
      <c r="B90" s="317">
        <v>651201185</v>
      </c>
      <c r="C90" s="200"/>
      <c r="D90" s="304" t="s">
        <v>300</v>
      </c>
      <c r="E90" s="110">
        <v>82.91</v>
      </c>
      <c r="F90" s="110">
        <v>533.32000000000005</v>
      </c>
      <c r="G90" s="111" t="s">
        <v>111</v>
      </c>
    </row>
    <row r="91" spans="1:7" ht="27" x14ac:dyDescent="0.45">
      <c r="A91" s="106">
        <v>85</v>
      </c>
      <c r="B91" s="317">
        <v>651201186</v>
      </c>
      <c r="C91" s="200"/>
      <c r="D91" s="304" t="s">
        <v>301</v>
      </c>
      <c r="E91" s="110">
        <v>83.68</v>
      </c>
      <c r="F91" s="110">
        <v>558.65</v>
      </c>
      <c r="G91" s="111" t="s">
        <v>111</v>
      </c>
    </row>
    <row r="92" spans="1:7" ht="27" x14ac:dyDescent="0.45">
      <c r="A92" s="106">
        <v>86</v>
      </c>
      <c r="B92" s="317">
        <v>651201187</v>
      </c>
      <c r="C92" s="200"/>
      <c r="D92" s="304" t="s">
        <v>302</v>
      </c>
      <c r="E92" s="110">
        <v>82.24</v>
      </c>
      <c r="F92" s="110">
        <v>537.57000000000005</v>
      </c>
      <c r="G92" s="111" t="s">
        <v>111</v>
      </c>
    </row>
    <row r="93" spans="1:7" ht="27" x14ac:dyDescent="0.45">
      <c r="A93" s="106">
        <v>87</v>
      </c>
      <c r="B93" s="317">
        <v>651201188</v>
      </c>
      <c r="C93" s="200"/>
      <c r="D93" s="304" t="s">
        <v>303</v>
      </c>
      <c r="E93" s="110">
        <v>78.099999999999994</v>
      </c>
      <c r="F93" s="110">
        <v>475.18</v>
      </c>
      <c r="G93" s="111" t="s">
        <v>110</v>
      </c>
    </row>
    <row r="94" spans="1:7" ht="27" x14ac:dyDescent="0.45">
      <c r="A94" s="106">
        <v>88</v>
      </c>
      <c r="B94" s="317">
        <v>651201189</v>
      </c>
      <c r="C94" s="108"/>
      <c r="D94" s="304" t="s">
        <v>304</v>
      </c>
      <c r="E94" s="110">
        <v>80.23</v>
      </c>
      <c r="F94" s="110">
        <v>495.06</v>
      </c>
      <c r="G94" s="111" t="s">
        <v>111</v>
      </c>
    </row>
    <row r="95" spans="1:7" ht="27" x14ac:dyDescent="0.45">
      <c r="A95" s="106">
        <v>89</v>
      </c>
      <c r="B95" s="317">
        <v>651201190</v>
      </c>
      <c r="C95" s="108"/>
      <c r="D95" s="304" t="s">
        <v>305</v>
      </c>
      <c r="E95" s="110">
        <v>75.69</v>
      </c>
      <c r="F95" s="110">
        <v>457.71</v>
      </c>
      <c r="G95" s="111" t="s">
        <v>110</v>
      </c>
    </row>
    <row r="96" spans="1:7" ht="27" x14ac:dyDescent="0.45">
      <c r="A96" s="106">
        <v>90</v>
      </c>
      <c r="B96" s="317">
        <v>651201191</v>
      </c>
      <c r="C96" s="108"/>
      <c r="D96" s="304" t="s">
        <v>306</v>
      </c>
      <c r="E96" s="110">
        <v>89.15</v>
      </c>
      <c r="F96" s="110">
        <v>615.57000000000005</v>
      </c>
      <c r="G96" s="111" t="s">
        <v>8</v>
      </c>
    </row>
    <row r="97" spans="1:7" ht="28" thickBot="1" x14ac:dyDescent="0.5">
      <c r="A97" s="106">
        <v>91</v>
      </c>
      <c r="B97" s="318">
        <v>651201192</v>
      </c>
      <c r="C97" s="108"/>
      <c r="D97" s="325" t="s">
        <v>307</v>
      </c>
      <c r="E97" s="110">
        <v>72.180000000000007</v>
      </c>
      <c r="F97" s="110">
        <v>402.24</v>
      </c>
      <c r="G97" s="111" t="s">
        <v>131</v>
      </c>
    </row>
    <row r="98" spans="1:7" ht="27" x14ac:dyDescent="0.45">
      <c r="A98" s="106">
        <v>92</v>
      </c>
      <c r="B98" s="319">
        <v>651201193</v>
      </c>
      <c r="C98" s="108"/>
      <c r="D98" s="319" t="s">
        <v>308</v>
      </c>
      <c r="E98" s="110">
        <v>82.09</v>
      </c>
      <c r="F98" s="110">
        <v>479.03</v>
      </c>
      <c r="G98" s="111" t="s">
        <v>111</v>
      </c>
    </row>
    <row r="99" spans="1:7" ht="27" x14ac:dyDescent="0.45">
      <c r="A99" s="106">
        <v>93</v>
      </c>
      <c r="B99" s="305">
        <v>651201194</v>
      </c>
      <c r="C99" s="108"/>
      <c r="D99" s="305" t="s">
        <v>309</v>
      </c>
      <c r="E99" s="110">
        <v>83.91</v>
      </c>
      <c r="F99" s="110">
        <v>512.46</v>
      </c>
      <c r="G99" s="111" t="s">
        <v>111</v>
      </c>
    </row>
    <row r="100" spans="1:7" ht="27" x14ac:dyDescent="0.45">
      <c r="A100" s="106">
        <v>94</v>
      </c>
      <c r="B100" s="305">
        <v>651201195</v>
      </c>
      <c r="C100" s="108"/>
      <c r="D100" s="305" t="s">
        <v>310</v>
      </c>
      <c r="E100" s="110">
        <v>80.42</v>
      </c>
      <c r="F100" s="110">
        <v>448.52</v>
      </c>
      <c r="G100" s="111" t="s">
        <v>111</v>
      </c>
    </row>
    <row r="101" spans="1:7" ht="27" x14ac:dyDescent="0.45">
      <c r="A101" s="106">
        <v>95</v>
      </c>
      <c r="B101" s="305">
        <v>651201196</v>
      </c>
      <c r="C101" s="108"/>
      <c r="D101" s="305" t="s">
        <v>311</v>
      </c>
      <c r="E101" s="110">
        <v>78.78</v>
      </c>
      <c r="F101" s="110">
        <v>408.98</v>
      </c>
      <c r="G101" s="111" t="s">
        <v>110</v>
      </c>
    </row>
    <row r="102" spans="1:7" ht="27" x14ac:dyDescent="0.45">
      <c r="A102" s="106">
        <v>96</v>
      </c>
      <c r="B102" s="305">
        <v>651201197</v>
      </c>
      <c r="C102" s="108"/>
      <c r="D102" s="305" t="s">
        <v>312</v>
      </c>
      <c r="E102" s="110">
        <v>83.44</v>
      </c>
      <c r="F102" s="110">
        <v>506.72</v>
      </c>
      <c r="G102" s="111" t="s">
        <v>111</v>
      </c>
    </row>
    <row r="103" spans="1:7" ht="27" x14ac:dyDescent="0.45">
      <c r="A103" s="106">
        <v>97</v>
      </c>
      <c r="B103" s="305">
        <v>651201198</v>
      </c>
      <c r="C103" s="108"/>
      <c r="D103" s="305" t="s">
        <v>313</v>
      </c>
      <c r="E103" s="110">
        <v>89.79</v>
      </c>
      <c r="F103" s="110">
        <v>629.41999999999996</v>
      </c>
      <c r="G103" s="111" t="s">
        <v>8</v>
      </c>
    </row>
    <row r="104" spans="1:7" ht="27" x14ac:dyDescent="0.45">
      <c r="A104" s="106">
        <v>98</v>
      </c>
      <c r="B104" s="305">
        <v>651201199</v>
      </c>
      <c r="C104" s="108"/>
      <c r="D104" s="305" t="s">
        <v>314</v>
      </c>
      <c r="E104" s="110">
        <v>84.7</v>
      </c>
      <c r="F104" s="110">
        <v>542.04</v>
      </c>
      <c r="G104" s="111" t="s">
        <v>111</v>
      </c>
    </row>
    <row r="105" spans="1:7" ht="27" x14ac:dyDescent="0.45">
      <c r="A105" s="106">
        <v>99</v>
      </c>
      <c r="B105" s="305">
        <v>651201200</v>
      </c>
      <c r="C105" s="108"/>
      <c r="D105" s="305" t="s">
        <v>315</v>
      </c>
      <c r="E105" s="110">
        <v>87.25</v>
      </c>
      <c r="F105" s="110">
        <v>597.11</v>
      </c>
      <c r="G105" s="111" t="s">
        <v>8</v>
      </c>
    </row>
    <row r="106" spans="1:7" ht="27" x14ac:dyDescent="0.45">
      <c r="A106" s="106">
        <v>100</v>
      </c>
      <c r="B106" s="305">
        <v>651201201</v>
      </c>
      <c r="C106" s="108"/>
      <c r="D106" s="305" t="s">
        <v>316</v>
      </c>
      <c r="E106" s="110">
        <v>88.36</v>
      </c>
      <c r="F106" s="110">
        <v>585.80999999999995</v>
      </c>
      <c r="G106" s="111" t="s">
        <v>8</v>
      </c>
    </row>
    <row r="107" spans="1:7" x14ac:dyDescent="0.4">
      <c r="A107" s="106"/>
      <c r="B107" s="107"/>
      <c r="C107" s="108"/>
      <c r="D107" s="109"/>
      <c r="E107" s="110"/>
      <c r="F107" s="110"/>
      <c r="G107" s="111"/>
    </row>
    <row r="108" spans="1:7" x14ac:dyDescent="0.4">
      <c r="A108" s="106"/>
      <c r="B108" s="107"/>
      <c r="C108" s="108"/>
      <c r="D108" s="109"/>
      <c r="E108" s="110"/>
      <c r="F108" s="110"/>
      <c r="G108" s="111"/>
    </row>
    <row r="109" spans="1:7" x14ac:dyDescent="0.4">
      <c r="A109" s="106"/>
      <c r="B109" s="107"/>
      <c r="C109" s="108"/>
      <c r="D109" s="109"/>
      <c r="E109" s="110"/>
      <c r="F109" s="110"/>
      <c r="G109" s="111"/>
    </row>
    <row r="110" spans="1:7" x14ac:dyDescent="0.4">
      <c r="A110" s="106"/>
      <c r="B110" s="107"/>
      <c r="C110" s="108"/>
      <c r="D110" s="109"/>
      <c r="E110" s="110"/>
      <c r="F110" s="110"/>
      <c r="G110" s="111"/>
    </row>
    <row r="111" spans="1:7" x14ac:dyDescent="0.4">
      <c r="A111" s="106"/>
      <c r="B111" s="107"/>
      <c r="C111" s="108"/>
      <c r="D111" s="109"/>
      <c r="E111" s="110"/>
      <c r="F111" s="110"/>
      <c r="G111" s="111"/>
    </row>
    <row r="112" spans="1:7" x14ac:dyDescent="0.4">
      <c r="A112" s="106"/>
      <c r="B112" s="107"/>
      <c r="C112" s="108"/>
      <c r="D112" s="109"/>
      <c r="E112" s="110"/>
      <c r="F112" s="110"/>
      <c r="G112" s="111"/>
    </row>
    <row r="113" spans="1:7" x14ac:dyDescent="0.4">
      <c r="A113" s="106">
        <v>107</v>
      </c>
      <c r="B113" s="107"/>
      <c r="C113" s="108"/>
      <c r="D113" s="109"/>
      <c r="E113" s="110"/>
      <c r="F113" s="110"/>
      <c r="G113" s="111"/>
    </row>
    <row r="114" spans="1:7" x14ac:dyDescent="0.4">
      <c r="A114" s="106">
        <v>108</v>
      </c>
      <c r="B114" s="107"/>
      <c r="C114" s="108"/>
      <c r="D114" s="109"/>
      <c r="E114" s="110"/>
      <c r="F114" s="110"/>
      <c r="G114" s="111"/>
    </row>
    <row r="115" spans="1:7" x14ac:dyDescent="0.4">
      <c r="A115" s="106">
        <v>109</v>
      </c>
      <c r="B115" s="107"/>
      <c r="C115" s="108"/>
      <c r="D115" s="109"/>
      <c r="E115" s="110"/>
      <c r="F115" s="110"/>
      <c r="G115" s="111"/>
    </row>
    <row r="116" spans="1:7" x14ac:dyDescent="0.4">
      <c r="A116" s="106">
        <v>110</v>
      </c>
      <c r="B116" s="107"/>
      <c r="C116" s="108"/>
      <c r="D116" s="109"/>
      <c r="E116" s="110"/>
      <c r="F116" s="110"/>
      <c r="G116" s="111"/>
    </row>
    <row r="117" spans="1:7" x14ac:dyDescent="0.4">
      <c r="A117" s="106">
        <v>111</v>
      </c>
      <c r="B117" s="107"/>
      <c r="C117" s="108"/>
      <c r="D117" s="109"/>
      <c r="E117" s="110"/>
      <c r="F117" s="110"/>
      <c r="G117" s="111"/>
    </row>
    <row r="118" spans="1:7" x14ac:dyDescent="0.4">
      <c r="A118" s="106">
        <v>112</v>
      </c>
      <c r="B118" s="107"/>
      <c r="C118" s="108"/>
      <c r="D118" s="109"/>
      <c r="E118" s="110"/>
      <c r="F118" s="110"/>
      <c r="G118" s="111"/>
    </row>
    <row r="119" spans="1:7" x14ac:dyDescent="0.4">
      <c r="A119" s="106">
        <v>113</v>
      </c>
      <c r="B119" s="107"/>
      <c r="C119" s="108"/>
      <c r="D119" s="109"/>
      <c r="E119" s="110"/>
      <c r="F119" s="110"/>
      <c r="G119" s="111"/>
    </row>
    <row r="120" spans="1:7" x14ac:dyDescent="0.4">
      <c r="A120" s="106">
        <v>114</v>
      </c>
      <c r="B120" s="107"/>
      <c r="C120" s="108"/>
      <c r="D120" s="109"/>
      <c r="E120" s="110"/>
      <c r="F120" s="110"/>
      <c r="G120" s="111"/>
    </row>
    <row r="121" spans="1:7" x14ac:dyDescent="0.4">
      <c r="A121" s="106">
        <v>115</v>
      </c>
      <c r="B121" s="107"/>
      <c r="C121" s="108"/>
      <c r="D121" s="109"/>
      <c r="E121" s="110"/>
      <c r="F121" s="110"/>
      <c r="G121" s="111"/>
    </row>
    <row r="122" spans="1:7" x14ac:dyDescent="0.4">
      <c r="A122" s="106">
        <v>116</v>
      </c>
      <c r="B122" s="107"/>
      <c r="C122" s="108"/>
      <c r="D122" s="109"/>
      <c r="E122" s="110"/>
      <c r="F122" s="110"/>
      <c r="G122" s="111"/>
    </row>
    <row r="123" spans="1:7" x14ac:dyDescent="0.4">
      <c r="A123" s="106">
        <v>117</v>
      </c>
      <c r="B123" s="107"/>
      <c r="C123" s="108"/>
      <c r="D123" s="109"/>
      <c r="E123" s="110"/>
      <c r="F123" s="110"/>
      <c r="G123" s="111"/>
    </row>
    <row r="124" spans="1:7" x14ac:dyDescent="0.4">
      <c r="A124" s="106">
        <v>118</v>
      </c>
      <c r="B124" s="107"/>
      <c r="C124" s="108"/>
      <c r="D124" s="109"/>
      <c r="E124" s="110"/>
      <c r="F124" s="110"/>
      <c r="G124" s="111"/>
    </row>
    <row r="125" spans="1:7" x14ac:dyDescent="0.4">
      <c r="A125" s="106">
        <v>119</v>
      </c>
      <c r="B125" s="107"/>
      <c r="C125" s="108"/>
      <c r="D125" s="109"/>
      <c r="E125" s="110"/>
      <c r="F125" s="110"/>
      <c r="G125" s="111"/>
    </row>
    <row r="126" spans="1:7" x14ac:dyDescent="0.4">
      <c r="A126" s="106">
        <v>120</v>
      </c>
      <c r="B126" s="107"/>
      <c r="C126" s="108"/>
      <c r="D126" s="109"/>
      <c r="E126" s="110"/>
      <c r="F126" s="110"/>
      <c r="G126" s="111"/>
    </row>
    <row r="127" spans="1:7" x14ac:dyDescent="0.4">
      <c r="B127" s="114"/>
      <c r="C127" s="114"/>
      <c r="D127" s="115"/>
      <c r="E127" s="116"/>
      <c r="F127" s="117"/>
      <c r="G127" s="118"/>
    </row>
    <row r="128" spans="1:7" x14ac:dyDescent="0.4">
      <c r="B128" s="114"/>
      <c r="C128" s="114"/>
      <c r="D128" s="115"/>
      <c r="E128" s="116"/>
      <c r="F128" s="117"/>
      <c r="G128" s="118"/>
    </row>
    <row r="129" spans="1:10" x14ac:dyDescent="0.4">
      <c r="B129" s="114"/>
      <c r="C129" s="114"/>
      <c r="E129" s="114"/>
      <c r="F129" s="114"/>
    </row>
    <row r="130" spans="1:10" x14ac:dyDescent="0.4">
      <c r="A130" s="119" t="s">
        <v>159</v>
      </c>
      <c r="C130" s="114"/>
      <c r="E130" s="119" t="s">
        <v>160</v>
      </c>
      <c r="F130" s="114"/>
    </row>
    <row r="131" spans="1:10" x14ac:dyDescent="0.4">
      <c r="A131" s="260" t="s">
        <v>189</v>
      </c>
      <c r="B131" s="260"/>
      <c r="C131" s="260"/>
      <c r="D131" s="260"/>
      <c r="E131" s="119" t="s">
        <v>187</v>
      </c>
      <c r="F131" s="114"/>
    </row>
    <row r="132" spans="1:10" s="120" customFormat="1" ht="31.5" customHeight="1" x14ac:dyDescent="0.4">
      <c r="A132" s="102"/>
      <c r="C132" s="102"/>
      <c r="D132" s="102"/>
      <c r="E132" s="102"/>
      <c r="F132" s="102"/>
      <c r="G132" s="100"/>
      <c r="H132" s="100"/>
      <c r="I132" s="100"/>
      <c r="J132" s="100"/>
    </row>
    <row r="133" spans="1:10" s="120" customFormat="1" x14ac:dyDescent="0.4">
      <c r="A133" s="119"/>
      <c r="C133" s="119"/>
      <c r="D133" s="119" t="s">
        <v>190</v>
      </c>
      <c r="F133" s="102"/>
      <c r="G133" s="100"/>
      <c r="H133" s="100"/>
      <c r="I133" s="100"/>
      <c r="J133" s="100"/>
    </row>
    <row r="134" spans="1:10" s="120" customFormat="1" x14ac:dyDescent="0.4">
      <c r="A134" s="119"/>
      <c r="C134" s="119"/>
      <c r="D134" s="123" t="s">
        <v>193</v>
      </c>
      <c r="F134" s="102"/>
      <c r="G134" s="100"/>
      <c r="H134" s="100"/>
      <c r="I134" s="100"/>
      <c r="J134" s="100"/>
    </row>
    <row r="136" spans="1:10" s="120" customFormat="1" x14ac:dyDescent="0.4">
      <c r="A136" s="102"/>
      <c r="B136" s="119"/>
      <c r="C136" s="119"/>
      <c r="D136" s="102"/>
      <c r="E136" s="102"/>
      <c r="F136" s="102"/>
      <c r="G136" s="100"/>
      <c r="H136" s="100"/>
      <c r="I136" s="100"/>
      <c r="J136" s="100"/>
    </row>
    <row r="137" spans="1:10" s="120" customFormat="1" x14ac:dyDescent="0.4">
      <c r="A137" s="102"/>
      <c r="B137" s="119"/>
      <c r="C137" s="119"/>
      <c r="D137" s="102"/>
      <c r="E137" s="102"/>
      <c r="F137" s="102"/>
      <c r="G137" s="100"/>
      <c r="H137" s="100"/>
      <c r="I137" s="100"/>
      <c r="J137" s="100"/>
    </row>
    <row r="141" spans="1:10" x14ac:dyDescent="0.4">
      <c r="E141" s="102" t="s">
        <v>191</v>
      </c>
    </row>
  </sheetData>
  <sortState xmlns:xlrd2="http://schemas.microsoft.com/office/spreadsheetml/2017/richdata2" ref="B7:G103">
    <sortCondition ref="B7:B103"/>
  </sortState>
  <mergeCells count="9">
    <mergeCell ref="A131:D131"/>
    <mergeCell ref="A1:G1"/>
    <mergeCell ref="A2:G2"/>
    <mergeCell ref="A3:G3"/>
    <mergeCell ref="A4:B4"/>
    <mergeCell ref="A5:A6"/>
    <mergeCell ref="B5:B6"/>
    <mergeCell ref="C5:D6"/>
    <mergeCell ref="E5:G5"/>
  </mergeCells>
  <pageMargins left="0.69" right="0.31496062992125984" top="0.63" bottom="0.6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A2:O38"/>
  <sheetViews>
    <sheetView view="pageBreakPreview" topLeftCell="A5" zoomScaleSheetLayoutView="100" workbookViewId="0">
      <selection activeCell="L16" sqref="L16"/>
    </sheetView>
  </sheetViews>
  <sheetFormatPr baseColWidth="10" defaultColWidth="9" defaultRowHeight="24" x14ac:dyDescent="0.4"/>
  <cols>
    <col min="1" max="1" width="7" style="100" customWidth="1"/>
    <col min="2" max="2" width="9" style="100"/>
    <col min="3" max="3" width="5.33203125" style="100" customWidth="1"/>
    <col min="4" max="4" width="7.83203125" style="100" customWidth="1"/>
    <col min="5" max="5" width="10.5" style="100" customWidth="1"/>
    <col min="6" max="6" width="6.6640625" style="100" customWidth="1"/>
    <col min="7" max="7" width="6" style="100" customWidth="1"/>
    <col min="8" max="8" width="4" style="100" customWidth="1"/>
    <col min="9" max="9" width="6.5" style="100" customWidth="1"/>
    <col min="10" max="10" width="4.5" style="100" customWidth="1"/>
    <col min="11" max="11" width="7.5" style="100" customWidth="1"/>
    <col min="12" max="12" width="5.1640625" style="100" customWidth="1"/>
    <col min="13" max="13" width="5.5" style="100" customWidth="1"/>
    <col min="14" max="14" width="2.1640625" style="100" customWidth="1"/>
    <col min="15" max="15" width="3.6640625" style="100" customWidth="1"/>
    <col min="16" max="30" width="4.1640625" style="100" customWidth="1"/>
    <col min="31" max="16384" width="9" style="100"/>
  </cols>
  <sheetData>
    <row r="2" spans="1:15" x14ac:dyDescent="0.4">
      <c r="A2" s="269" t="s">
        <v>161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5" ht="29.25" customHeight="1" x14ac:dyDescent="0.4">
      <c r="A3" s="121"/>
      <c r="B3" s="121"/>
      <c r="E3" s="121" t="s">
        <v>162</v>
      </c>
      <c r="F3" s="121"/>
      <c r="G3" s="121"/>
      <c r="H3" s="121"/>
      <c r="I3" s="121"/>
    </row>
    <row r="4" spans="1:15" ht="24.75" customHeight="1" x14ac:dyDescent="0.4">
      <c r="A4" s="121"/>
      <c r="B4" s="121"/>
      <c r="E4" s="121" t="s">
        <v>163</v>
      </c>
      <c r="F4" s="121"/>
      <c r="G4" s="121"/>
      <c r="H4" s="121"/>
      <c r="I4" s="121"/>
      <c r="J4" s="122"/>
    </row>
    <row r="5" spans="1:15" x14ac:dyDescent="0.4">
      <c r="A5" s="270" t="s">
        <v>164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</row>
    <row r="6" spans="1:15" ht="12" customHeight="1" x14ac:dyDescent="0.4"/>
    <row r="7" spans="1:15" x14ac:dyDescent="0.4">
      <c r="A7" s="270" t="str">
        <f>CONCATENATE(" โปรแกรมวิชา  พยาบาลศาสตรบัณฑิต       หมู่เรียนที่  -       รุ่นที่  14      ระดับ  ปริญญาตรี")</f>
        <v xml:space="preserve"> โปรแกรมวิชา  พยาบาลศาสตรบัณฑิต       หมู่เรียนที่  -       รุ่นที่  14      ระดับ  ปริญญาตรี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5" x14ac:dyDescent="0.4">
      <c r="A8" s="270" t="s">
        <v>203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5" x14ac:dyDescent="0.4">
      <c r="A9" s="270" t="s">
        <v>216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</row>
    <row r="10" spans="1:15" ht="12" customHeight="1" x14ac:dyDescent="0.4"/>
    <row r="11" spans="1:15" x14ac:dyDescent="0.4">
      <c r="A11" s="268" t="s">
        <v>165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</row>
    <row r="12" spans="1:15" ht="23.25" customHeight="1" x14ac:dyDescent="0.4">
      <c r="A12" s="100" t="str">
        <f>"   จำนวนนักศึกษาที่ลงทะเบียนทั้งหมด      คน"</f>
        <v xml:space="preserve">   จำนวนนักศึกษาที่ลงทะเบียนทั้งหมด      คน</v>
      </c>
      <c r="D12" s="102"/>
    </row>
    <row r="13" spans="1:15" x14ac:dyDescent="0.4">
      <c r="B13" s="100" t="str">
        <f>"คะแนน  T  ตั้งแต่"</f>
        <v>คะแนน  T  ตั้งแต่</v>
      </c>
      <c r="D13" s="102"/>
      <c r="E13" s="100" t="s">
        <v>166</v>
      </c>
      <c r="F13" s="102"/>
      <c r="G13" s="100" t="s">
        <v>167</v>
      </c>
      <c r="I13" s="100" t="s">
        <v>168</v>
      </c>
      <c r="J13" s="123" t="s">
        <v>8</v>
      </c>
      <c r="K13" s="100" t="s">
        <v>139</v>
      </c>
      <c r="L13" s="102">
        <f>COUNTIF(Grade!$G$7:$G$126,cover!J13)</f>
        <v>28</v>
      </c>
      <c r="M13" s="102" t="s">
        <v>169</v>
      </c>
    </row>
    <row r="14" spans="1:15" x14ac:dyDescent="0.4">
      <c r="B14" s="100" t="str">
        <f t="shared" ref="B14:B23" si="0">"คะแนน  T  ตั้งแต่"</f>
        <v>คะแนน  T  ตั้งแต่</v>
      </c>
      <c r="D14" s="102"/>
      <c r="E14" s="100" t="s">
        <v>166</v>
      </c>
      <c r="F14" s="102"/>
      <c r="G14" s="100" t="s">
        <v>167</v>
      </c>
      <c r="I14" s="100" t="s">
        <v>168</v>
      </c>
      <c r="J14" s="123" t="s">
        <v>111</v>
      </c>
      <c r="K14" s="100" t="s">
        <v>139</v>
      </c>
      <c r="L14" s="102">
        <f>COUNTIF(Grade!$G$7:$G$126,cover!J14)</f>
        <v>41</v>
      </c>
      <c r="M14" s="102" t="s">
        <v>169</v>
      </c>
    </row>
    <row r="15" spans="1:15" x14ac:dyDescent="0.4">
      <c r="B15" s="100" t="str">
        <f t="shared" si="0"/>
        <v>คะแนน  T  ตั้งแต่</v>
      </c>
      <c r="D15" s="102"/>
      <c r="E15" s="100" t="s">
        <v>166</v>
      </c>
      <c r="F15" s="102"/>
      <c r="G15" s="100" t="s">
        <v>167</v>
      </c>
      <c r="I15" s="100" t="s">
        <v>168</v>
      </c>
      <c r="J15" s="123" t="s">
        <v>110</v>
      </c>
      <c r="K15" s="100" t="s">
        <v>139</v>
      </c>
      <c r="L15" s="102">
        <f>COUNTIF(Grade!$G$7:$G$126,cover!J15)</f>
        <v>26</v>
      </c>
      <c r="M15" s="102" t="s">
        <v>169</v>
      </c>
    </row>
    <row r="16" spans="1:15" x14ac:dyDescent="0.4">
      <c r="B16" s="100" t="str">
        <f t="shared" si="0"/>
        <v>คะแนน  T  ตั้งแต่</v>
      </c>
      <c r="D16" s="102"/>
      <c r="E16" s="100" t="s">
        <v>166</v>
      </c>
      <c r="F16" s="102"/>
      <c r="G16" s="100" t="s">
        <v>167</v>
      </c>
      <c r="I16" s="100" t="s">
        <v>168</v>
      </c>
      <c r="J16" s="123" t="s">
        <v>131</v>
      </c>
      <c r="K16" s="100" t="s">
        <v>139</v>
      </c>
      <c r="L16" s="102">
        <f>COUNTIF(Grade!$G$7:$G$126,cover!J16)</f>
        <v>4</v>
      </c>
      <c r="M16" s="102" t="s">
        <v>169</v>
      </c>
    </row>
    <row r="17" spans="1:15" x14ac:dyDescent="0.4">
      <c r="B17" s="100" t="str">
        <f t="shared" si="0"/>
        <v>คะแนน  T  ตั้งแต่</v>
      </c>
      <c r="D17" s="102"/>
      <c r="E17" s="100" t="s">
        <v>166</v>
      </c>
      <c r="F17" s="102"/>
      <c r="G17" s="100" t="s">
        <v>167</v>
      </c>
      <c r="I17" s="100" t="s">
        <v>168</v>
      </c>
      <c r="J17" s="123" t="s">
        <v>132</v>
      </c>
      <c r="K17" s="100" t="s">
        <v>139</v>
      </c>
      <c r="L17" s="102">
        <f>COUNTIF(Grade!$G$7:$G$126,cover!J17)</f>
        <v>0</v>
      </c>
      <c r="M17" s="102" t="s">
        <v>169</v>
      </c>
    </row>
    <row r="18" spans="1:15" x14ac:dyDescent="0.4">
      <c r="B18" s="100" t="str">
        <f t="shared" si="0"/>
        <v>คะแนน  T  ตั้งแต่</v>
      </c>
      <c r="D18" s="102"/>
      <c r="E18" s="100" t="s">
        <v>166</v>
      </c>
      <c r="F18" s="102"/>
      <c r="G18" s="100" t="s">
        <v>167</v>
      </c>
      <c r="I18" s="100" t="s">
        <v>168</v>
      </c>
      <c r="J18" s="123" t="s">
        <v>133</v>
      </c>
      <c r="K18" s="100" t="s">
        <v>139</v>
      </c>
      <c r="L18" s="102">
        <f>COUNTIF(Grade!$G$7:$G$126,cover!J18)</f>
        <v>0</v>
      </c>
      <c r="M18" s="102" t="s">
        <v>169</v>
      </c>
    </row>
    <row r="19" spans="1:15" x14ac:dyDescent="0.4">
      <c r="B19" s="100" t="str">
        <f t="shared" si="0"/>
        <v>คะแนน  T  ตั้งแต่</v>
      </c>
      <c r="D19" s="102"/>
      <c r="E19" s="100" t="s">
        <v>166</v>
      </c>
      <c r="F19" s="102"/>
      <c r="G19" s="100" t="s">
        <v>167</v>
      </c>
      <c r="I19" s="100" t="s">
        <v>168</v>
      </c>
      <c r="J19" s="100" t="s">
        <v>134</v>
      </c>
      <c r="K19" s="100" t="s">
        <v>139</v>
      </c>
      <c r="L19" s="102">
        <f>COUNTIF(Grade!$G$7:$G$126,cover!J19)</f>
        <v>0</v>
      </c>
      <c r="M19" s="102" t="s">
        <v>169</v>
      </c>
    </row>
    <row r="20" spans="1:15" x14ac:dyDescent="0.4">
      <c r="B20" s="100" t="str">
        <f t="shared" si="0"/>
        <v>คะแนน  T  ตั้งแต่</v>
      </c>
      <c r="D20" s="102"/>
      <c r="E20" s="100" t="s">
        <v>166</v>
      </c>
      <c r="F20" s="102"/>
      <c r="G20" s="100" t="s">
        <v>167</v>
      </c>
      <c r="I20" s="100" t="s">
        <v>168</v>
      </c>
      <c r="J20" s="100" t="s">
        <v>135</v>
      </c>
      <c r="K20" s="100" t="s">
        <v>139</v>
      </c>
      <c r="L20" s="102">
        <f>COUNTIF(Grade!$G$7:$G$126,cover!J20)</f>
        <v>1</v>
      </c>
      <c r="M20" s="102" t="s">
        <v>169</v>
      </c>
    </row>
    <row r="21" spans="1:15" x14ac:dyDescent="0.4">
      <c r="B21" s="100" t="str">
        <f t="shared" si="0"/>
        <v>คะแนน  T  ตั้งแต่</v>
      </c>
      <c r="D21" s="102"/>
      <c r="E21" s="100" t="s">
        <v>166</v>
      </c>
      <c r="F21" s="102"/>
      <c r="G21" s="100" t="s">
        <v>167</v>
      </c>
      <c r="I21" s="100" t="s">
        <v>168</v>
      </c>
      <c r="J21" s="100" t="s">
        <v>170</v>
      </c>
      <c r="K21" s="100" t="s">
        <v>139</v>
      </c>
      <c r="L21" s="102">
        <f>COUNTIF(Grade!$G$7:$G$126,cover!J21)</f>
        <v>0</v>
      </c>
      <c r="M21" s="102" t="s">
        <v>169</v>
      </c>
    </row>
    <row r="22" spans="1:15" x14ac:dyDescent="0.4">
      <c r="B22" s="100" t="str">
        <f t="shared" si="0"/>
        <v>คะแนน  T  ตั้งแต่</v>
      </c>
      <c r="D22" s="102"/>
      <c r="E22" s="100" t="s">
        <v>166</v>
      </c>
      <c r="F22" s="102"/>
      <c r="G22" s="100" t="s">
        <v>167</v>
      </c>
      <c r="I22" s="100" t="s">
        <v>168</v>
      </c>
      <c r="J22" s="100" t="s">
        <v>171</v>
      </c>
      <c r="K22" s="100" t="s">
        <v>139</v>
      </c>
      <c r="L22" s="102">
        <f>COUNTIF(Grade!$G$7:$G$126,cover!J22)</f>
        <v>0</v>
      </c>
      <c r="M22" s="102" t="s">
        <v>169</v>
      </c>
    </row>
    <row r="23" spans="1:15" x14ac:dyDescent="0.4">
      <c r="B23" s="100" t="str">
        <f t="shared" si="0"/>
        <v>คะแนน  T  ตั้งแต่</v>
      </c>
      <c r="D23" s="102"/>
      <c r="E23" s="100" t="s">
        <v>166</v>
      </c>
      <c r="F23" s="102"/>
      <c r="G23" s="100" t="s">
        <v>167</v>
      </c>
      <c r="I23" s="100" t="s">
        <v>168</v>
      </c>
      <c r="J23" s="100" t="s">
        <v>172</v>
      </c>
      <c r="K23" s="100" t="s">
        <v>139</v>
      </c>
      <c r="L23" s="102">
        <f>COUNTIF(Grade!$G$7:$G$126,cover!J23)</f>
        <v>0</v>
      </c>
      <c r="M23" s="102" t="s">
        <v>169</v>
      </c>
    </row>
    <row r="24" spans="1:15" x14ac:dyDescent="0.4">
      <c r="B24" s="100" t="s">
        <v>173</v>
      </c>
      <c r="E24" s="100" t="str">
        <f>"จำนวน  1   คน"</f>
        <v>จำนวน  1   คน</v>
      </c>
      <c r="G24" s="100" t="s">
        <v>174</v>
      </c>
      <c r="H24" s="100" t="s">
        <v>175</v>
      </c>
    </row>
    <row r="25" spans="1:15" x14ac:dyDescent="0.4">
      <c r="H25" s="100" t="s">
        <v>175</v>
      </c>
    </row>
    <row r="27" spans="1:15" ht="33.75" customHeight="1" x14ac:dyDescent="0.4">
      <c r="A27" s="272" t="s">
        <v>176</v>
      </c>
      <c r="B27" s="272"/>
      <c r="C27" s="272"/>
      <c r="D27" s="272"/>
      <c r="E27" s="272"/>
      <c r="G27" s="100" t="s">
        <v>177</v>
      </c>
    </row>
    <row r="28" spans="1:15" x14ac:dyDescent="0.4">
      <c r="A28" s="273" t="s">
        <v>204</v>
      </c>
      <c r="B28" s="273"/>
      <c r="C28" s="273"/>
      <c r="D28" s="273"/>
      <c r="G28" s="125" t="s">
        <v>186</v>
      </c>
      <c r="H28" s="125"/>
      <c r="I28" s="125"/>
      <c r="J28" s="125"/>
      <c r="K28" s="125"/>
      <c r="L28" s="125"/>
      <c r="M28" s="125"/>
    </row>
    <row r="29" spans="1:15" x14ac:dyDescent="0.4">
      <c r="A29" s="100" t="s">
        <v>178</v>
      </c>
      <c r="G29" s="274" t="s">
        <v>179</v>
      </c>
      <c r="H29" s="274"/>
      <c r="I29" s="274"/>
      <c r="J29" s="274"/>
      <c r="K29" s="274"/>
      <c r="L29" s="274"/>
      <c r="M29" s="274"/>
    </row>
    <row r="30" spans="1:15" ht="15.5" customHeight="1" x14ac:dyDescent="0.4"/>
    <row r="31" spans="1:15" x14ac:dyDescent="0.4">
      <c r="B31" s="100" t="s">
        <v>180</v>
      </c>
      <c r="G31" s="271"/>
      <c r="H31" s="271"/>
      <c r="I31" s="271"/>
      <c r="J31" s="271"/>
      <c r="K31" s="271"/>
      <c r="L31" s="271"/>
      <c r="M31" s="271"/>
      <c r="N31" s="271"/>
      <c r="O31" s="271"/>
    </row>
    <row r="32" spans="1:15" x14ac:dyDescent="0.4">
      <c r="A32" s="124"/>
      <c r="B32" s="100" t="s">
        <v>181</v>
      </c>
      <c r="C32" s="124"/>
      <c r="D32" s="124"/>
      <c r="E32" s="124"/>
      <c r="G32" s="260"/>
      <c r="H32" s="260"/>
      <c r="I32" s="260"/>
      <c r="J32" s="260"/>
      <c r="K32" s="260"/>
      <c r="L32" s="260"/>
      <c r="M32" s="260"/>
    </row>
    <row r="33" spans="1:15" ht="19.5" customHeight="1" x14ac:dyDescent="0.4">
      <c r="B33" s="100" t="s">
        <v>182</v>
      </c>
      <c r="G33" s="271" t="s">
        <v>183</v>
      </c>
      <c r="H33" s="271"/>
      <c r="I33" s="271"/>
      <c r="J33" s="271"/>
      <c r="K33" s="271"/>
      <c r="L33" s="271"/>
      <c r="M33" s="271"/>
      <c r="N33" s="271"/>
      <c r="O33" s="271"/>
    </row>
    <row r="34" spans="1:15" ht="42.75" customHeight="1" x14ac:dyDescent="0.4">
      <c r="D34" s="100" t="s">
        <v>184</v>
      </c>
    </row>
    <row r="35" spans="1:15" x14ac:dyDescent="0.4">
      <c r="A35" s="125"/>
      <c r="B35" s="123"/>
      <c r="C35" s="125"/>
      <c r="D35" s="125" t="s">
        <v>194</v>
      </c>
      <c r="E35" s="123"/>
      <c r="H35" s="123"/>
      <c r="I35" s="123"/>
      <c r="J35" s="123"/>
      <c r="K35" s="123"/>
      <c r="L35" s="123"/>
      <c r="M35" s="123"/>
    </row>
    <row r="36" spans="1:15" x14ac:dyDescent="0.4">
      <c r="D36" s="123" t="s">
        <v>185</v>
      </c>
      <c r="H36" s="123"/>
      <c r="I36" s="123"/>
      <c r="J36" s="123"/>
      <c r="K36" s="123"/>
      <c r="L36" s="123"/>
      <c r="M36" s="123"/>
    </row>
    <row r="37" spans="1:15" x14ac:dyDescent="0.4">
      <c r="A37" s="272"/>
      <c r="B37" s="272"/>
      <c r="C37" s="272"/>
      <c r="D37" s="272"/>
    </row>
    <row r="38" spans="1:15" x14ac:dyDescent="0.4">
      <c r="A38" s="272"/>
      <c r="B38" s="272"/>
      <c r="C38" s="272"/>
      <c r="D38" s="272"/>
      <c r="G38" s="272"/>
      <c r="H38" s="272"/>
      <c r="I38" s="272"/>
      <c r="J38" s="272"/>
      <c r="K38" s="272"/>
      <c r="L38" s="272"/>
    </row>
  </sheetData>
  <mergeCells count="15">
    <mergeCell ref="G33:O33"/>
    <mergeCell ref="A37:D37"/>
    <mergeCell ref="A38:D38"/>
    <mergeCell ref="G38:L38"/>
    <mergeCell ref="A27:E27"/>
    <mergeCell ref="A28:D28"/>
    <mergeCell ref="G29:M29"/>
    <mergeCell ref="G31:O31"/>
    <mergeCell ref="G32:M32"/>
    <mergeCell ref="A11:O11"/>
    <mergeCell ref="A2:O2"/>
    <mergeCell ref="A5:O5"/>
    <mergeCell ref="A7:O7"/>
    <mergeCell ref="A8:O8"/>
    <mergeCell ref="A9:O9"/>
  </mergeCells>
  <printOptions horizontalCentered="1"/>
  <pageMargins left="0.25" right="0.11811023622047245" top="0.39370078740157483" bottom="0.31496062992125984" header="0.19685039370078741" footer="0.11811023622047245"/>
  <pageSetup paperSize="9" scale="85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C10"/>
  <sheetViews>
    <sheetView workbookViewId="0">
      <selection activeCell="C10" sqref="A1:C10"/>
    </sheetView>
  </sheetViews>
  <sheetFormatPr baseColWidth="10" defaultColWidth="8.83203125" defaultRowHeight="15" x14ac:dyDescent="0.2"/>
  <cols>
    <col min="1" max="1" width="9" style="67"/>
    <col min="2" max="2" width="14.1640625" style="67" bestFit="1" customWidth="1"/>
  </cols>
  <sheetData>
    <row r="1" spans="1:3" x14ac:dyDescent="0.2">
      <c r="A1" s="70" t="s">
        <v>4</v>
      </c>
      <c r="B1" s="70" t="s">
        <v>138</v>
      </c>
      <c r="C1" s="71" t="s">
        <v>137</v>
      </c>
    </row>
    <row r="2" spans="1:3" x14ac:dyDescent="0.2">
      <c r="A2" s="68" t="s">
        <v>8</v>
      </c>
      <c r="B2" s="68" t="e">
        <f>COUNTIF(#REF!,"A")</f>
        <v>#REF!</v>
      </c>
      <c r="C2" s="69">
        <v>27</v>
      </c>
    </row>
    <row r="3" spans="1:3" x14ac:dyDescent="0.2">
      <c r="A3" s="68" t="s">
        <v>111</v>
      </c>
      <c r="B3" s="68" t="e">
        <f>COUNTIF(#REF!,"B+")</f>
        <v>#REF!</v>
      </c>
      <c r="C3" s="69">
        <v>18</v>
      </c>
    </row>
    <row r="4" spans="1:3" x14ac:dyDescent="0.2">
      <c r="A4" s="68" t="s">
        <v>110</v>
      </c>
      <c r="B4" s="68" t="e">
        <f>COUNTIF(#REF!,"B")</f>
        <v>#REF!</v>
      </c>
      <c r="C4" s="69">
        <v>15</v>
      </c>
    </row>
    <row r="5" spans="1:3" x14ac:dyDescent="0.2">
      <c r="A5" s="68" t="s">
        <v>131</v>
      </c>
      <c r="B5" s="68" t="e">
        <f>COUNTIF(#REF!,"C+")</f>
        <v>#REF!</v>
      </c>
      <c r="C5" s="69">
        <v>11</v>
      </c>
    </row>
    <row r="6" spans="1:3" x14ac:dyDescent="0.2">
      <c r="A6" s="68" t="s">
        <v>132</v>
      </c>
      <c r="B6" s="68" t="e">
        <f>COUNTIF(#REF!,"C")</f>
        <v>#REF!</v>
      </c>
      <c r="C6" s="69">
        <v>8</v>
      </c>
    </row>
    <row r="7" spans="1:3" x14ac:dyDescent="0.2">
      <c r="A7" s="68" t="s">
        <v>133</v>
      </c>
      <c r="B7" s="68" t="e">
        <f>COUNTIF(#REF!,"D+")</f>
        <v>#REF!</v>
      </c>
      <c r="C7" s="69">
        <v>2</v>
      </c>
    </row>
    <row r="8" spans="1:3" x14ac:dyDescent="0.2">
      <c r="A8" s="68" t="s">
        <v>134</v>
      </c>
      <c r="B8" s="68" t="e">
        <f>COUNTIF(#REF!,"D")</f>
        <v>#REF!</v>
      </c>
      <c r="C8" s="69">
        <v>0</v>
      </c>
    </row>
    <row r="9" spans="1:3" x14ac:dyDescent="0.2">
      <c r="A9" s="68" t="s">
        <v>135</v>
      </c>
      <c r="B9" s="68" t="e">
        <f>COUNTIF(#REF!,"E")</f>
        <v>#REF!</v>
      </c>
      <c r="C9" s="69">
        <v>0</v>
      </c>
    </row>
    <row r="10" spans="1:3" x14ac:dyDescent="0.2">
      <c r="A10" s="68" t="s">
        <v>136</v>
      </c>
      <c r="B10" s="68" t="e">
        <f>SUM(B2:B9)</f>
        <v>#REF!</v>
      </c>
      <c r="C10" s="69">
        <f>SUM(C2:C9)</f>
        <v>81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33</vt:i4>
      </vt:variant>
    </vt:vector>
  </HeadingPairs>
  <TitlesOfParts>
    <vt:vector size="58" baseType="lpstr">
      <vt:lpstr>gr.A1(อ.ภัททิรา)</vt:lpstr>
      <vt:lpstr>gr.A2 (แก้ไข4เกรด)</vt:lpstr>
      <vt:lpstr>gr.A2(แก้ไข5เกรด)</vt:lpstr>
      <vt:lpstr>gr.B2(รศ.ดร.จิระภา&amp;อ.อ้อยทิพย์)</vt:lpstr>
      <vt:lpstr>gr.B2(ปรับคะแนนรัตนาภรณ์ใหม่)</vt:lpstr>
      <vt:lpstr>gr.C1(ปรับคะแนนใหม่)</vt:lpstr>
      <vt:lpstr>gr.D1(อ.ธมลวรรณเดิม)</vt:lpstr>
      <vt:lpstr>gr.D1(ปรับคะแนนเจนจิฬาใหม่)</vt:lpstr>
      <vt:lpstr>gr.D2(ปรับคะแนนใหม่)</vt:lpstr>
      <vt:lpstr>gr.D2(อ.บุปผาเดิม)</vt:lpstr>
      <vt:lpstr>AssistPro.Dr (Yuphadi)</vt:lpstr>
      <vt:lpstr>Dr (Jirachaya)</vt:lpstr>
      <vt:lpstr>A (Sirikorn)</vt:lpstr>
      <vt:lpstr>A (Supaphak)</vt:lpstr>
      <vt:lpstr>A (Jeerapa)</vt:lpstr>
      <vt:lpstr>A (Lanaprai)</vt:lpstr>
      <vt:lpstr>A (Ratanapenporn)</vt:lpstr>
      <vt:lpstr>A (Pattira)</vt:lpstr>
      <vt:lpstr>A(Sutapinun)</vt:lpstr>
      <vt:lpstr>Dr (Kamolrat</vt:lpstr>
      <vt:lpstr>A (Anucha)</vt:lpstr>
      <vt:lpstr>A (Amornrat) </vt:lpstr>
      <vt:lpstr>Grade</vt:lpstr>
      <vt:lpstr>cover</vt:lpstr>
      <vt:lpstr>Count grade</vt:lpstr>
      <vt:lpstr>'A (Jeerapa)'!Print_Area</vt:lpstr>
      <vt:lpstr>'A (Pattira)'!Print_Area</vt:lpstr>
      <vt:lpstr>'A (Ratanapenporn)'!Print_Area</vt:lpstr>
      <vt:lpstr>'A (Supaphak)'!Print_Area</vt:lpstr>
      <vt:lpstr>'AssistPro.Dr (Yuphadi)'!Print_Area</vt:lpstr>
      <vt:lpstr>cover!Print_Area</vt:lpstr>
      <vt:lpstr>'gr.A1(อ.ภัททิรา)'!Print_Area</vt:lpstr>
      <vt:lpstr>'gr.A2 (แก้ไข4เกรด)'!Print_Area</vt:lpstr>
      <vt:lpstr>'gr.A2(แก้ไข5เกรด)'!Print_Area</vt:lpstr>
      <vt:lpstr>'gr.B2(ปรับคะแนนรัตนาภรณ์ใหม่)'!Print_Area</vt:lpstr>
      <vt:lpstr>'gr.B2(รศ.ดร.จิระภา&amp;อ.อ้อยทิพย์)'!Print_Area</vt:lpstr>
      <vt:lpstr>'gr.C1(ปรับคะแนนใหม่)'!Print_Area</vt:lpstr>
      <vt:lpstr>'gr.D1(ปรับคะแนนเจนจิฬาใหม่)'!Print_Area</vt:lpstr>
      <vt:lpstr>'gr.D1(อ.ธมลวรรณเดิม)'!Print_Area</vt:lpstr>
      <vt:lpstr>'gr.D2(ปรับคะแนนใหม่)'!Print_Area</vt:lpstr>
      <vt:lpstr>'gr.D2(อ.บุปผาเดิม)'!Print_Area</vt:lpstr>
      <vt:lpstr>Grade!Print_Area</vt:lpstr>
      <vt:lpstr>'A (Jeerapa)'!Print_Titles</vt:lpstr>
      <vt:lpstr>'A (Pattira)'!Print_Titles</vt:lpstr>
      <vt:lpstr>'A (Ratanapenporn)'!Print_Titles</vt:lpstr>
      <vt:lpstr>'A (Supaphak)'!Print_Titles</vt:lpstr>
      <vt:lpstr>'AssistPro.Dr (Yuphadi)'!Print_Titles</vt:lpstr>
      <vt:lpstr>'gr.A1(อ.ภัททิรา)'!Print_Titles</vt:lpstr>
      <vt:lpstr>'gr.A2 (แก้ไข4เกรด)'!Print_Titles</vt:lpstr>
      <vt:lpstr>'gr.A2(แก้ไข5เกรด)'!Print_Titles</vt:lpstr>
      <vt:lpstr>'gr.B2(ปรับคะแนนรัตนาภรณ์ใหม่)'!Print_Titles</vt:lpstr>
      <vt:lpstr>'gr.B2(รศ.ดร.จิระภา&amp;อ.อ้อยทิพย์)'!Print_Titles</vt:lpstr>
      <vt:lpstr>'gr.C1(ปรับคะแนนใหม่)'!Print_Titles</vt:lpstr>
      <vt:lpstr>'gr.D1(ปรับคะแนนเจนจิฬาใหม่)'!Print_Titles</vt:lpstr>
      <vt:lpstr>'gr.D1(อ.ธมลวรรณเดิม)'!Print_Titles</vt:lpstr>
      <vt:lpstr>'gr.D2(ปรับคะแนนใหม่)'!Print_Titles</vt:lpstr>
      <vt:lpstr>'gr.D2(อ.บุปผาเดิม)'!Print_Titles</vt:lpstr>
      <vt:lpstr>Grade!Print_Titles</vt:lpstr>
    </vt:vector>
  </TitlesOfParts>
  <Company>Salinsky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Salinsky</dc:creator>
  <cp:lastModifiedBy>LANAPRAI KWATHAI</cp:lastModifiedBy>
  <cp:lastPrinted>2021-08-04T03:23:06Z</cp:lastPrinted>
  <dcterms:created xsi:type="dcterms:W3CDTF">2009-11-09T08:27:03Z</dcterms:created>
  <dcterms:modified xsi:type="dcterms:W3CDTF">2024-07-03T01:45:49Z</dcterms:modified>
</cp:coreProperties>
</file>